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rogram Setup" sheetId="2" state="visible" r:id="rId2"/>
    <sheet xmlns:r="http://schemas.openxmlformats.org/officeDocument/2006/relationships" name="1 Impact" sheetId="3" state="visible" r:id="rId3"/>
    <sheet xmlns:r="http://schemas.openxmlformats.org/officeDocument/2006/relationships" name="2 Outcomes" sheetId="4" state="visible" r:id="rId4"/>
    <sheet xmlns:r="http://schemas.openxmlformats.org/officeDocument/2006/relationships" name="3 Outputs" sheetId="5" state="visible" r:id="rId5"/>
    <sheet xmlns:r="http://schemas.openxmlformats.org/officeDocument/2006/relationships" name="4 Activities" sheetId="6" state="visible" r:id="rId6"/>
    <sheet xmlns:r="http://schemas.openxmlformats.org/officeDocument/2006/relationships" name="5 Inputs" sheetId="7" state="visible" r:id="rId7"/>
    <sheet xmlns:r="http://schemas.openxmlformats.org/officeDocument/2006/relationships" name="Assumptions" sheetId="8" state="visible" r:id="rId8"/>
    <sheet xmlns:r="http://schemas.openxmlformats.org/officeDocument/2006/relationships" name="One-Page Model" sheetId="9" state="visible" r:id="rId9"/>
    <sheet xmlns:r="http://schemas.openxmlformats.org/officeDocument/2006/relationships" name="Chain Check" sheetId="10" state="visible" r:id="rId10"/>
    <sheet xmlns:r="http://schemas.openxmlformats.org/officeDocument/2006/relationships" name="Narrative Map" sheetId="11" state="visible" r:id="rId11"/>
    <sheet xmlns:r="http://schemas.openxmlformats.org/officeDocument/2006/relationships" name="Funder Crosswalk" sheetId="12" state="visible" r:id="rId12"/>
    <sheet xmlns:r="http://schemas.openxmlformats.org/officeDocument/2006/relationships" name="Outputs vs Outcomes" sheetId="13" state="visible" r:id="rId13"/>
    <sheet xmlns:r="http://schemas.openxmlformats.org/officeDocument/2006/relationships" name="Example Workforce" sheetId="14" state="visible" r:id="rId14"/>
    <sheet xmlns:r="http://schemas.openxmlformats.org/officeDocument/2006/relationships" name="Reporting Tracker" sheetId="15" state="visible" r:id="rId15"/>
    <sheet xmlns:r="http://schemas.openxmlformats.org/officeDocument/2006/relationships" name="Reviewer Cross-Check" sheetId="16" state="visible" r:id="rId16"/>
  </sheets>
  <definedNames>
    <definedName name="OutcomeIDs">'2 Outcomes'!$A$7:$A$12</definedName>
    <definedName name="OutputIDs">'3 Outputs'!$A$7:$A$15</definedName>
    <definedName name="_xlnm.Print_Area" localSheetId="8">'One-Page Model'!$A$1:$E$40</definedName>
  </definedNames>
  <calcPr calcId="124519" fullCalcOnLoad="1"/>
</workbook>
</file>

<file path=xl/styles.xml><?xml version="1.0" encoding="utf-8"?>
<styleSheet xmlns="http://schemas.openxmlformats.org/spreadsheetml/2006/main">
  <numFmts count="6">
    <numFmt numFmtId="164" formatCode="&quot;$&quot;#,##0"/>
    <numFmt numFmtId="165" formatCode="&quot;$&quot;#,##0.00"/>
    <numFmt numFmtId="166" formatCode="mmm d, yyyy"/>
    <numFmt numFmtId="167" formatCode="#,##0.##"/>
    <numFmt numFmtId="168" formatCode="0.0"/>
    <numFmt numFmtId="169" formatCode="0.0%"/>
  </numFmts>
  <fonts count="11">
    <font>
      <name val="Calibri"/>
      <family val="2"/>
      <color theme="1"/>
      <sz val="11"/>
      <scheme val="minor"/>
    </font>
    <font>
      <name val="Calibri"/>
      <b val="1"/>
      <color rgb="0016324F"/>
      <sz val="15"/>
    </font>
    <font>
      <name val="Calibri"/>
      <i val="1"/>
      <color rgb="006B7785"/>
      <sz val="10"/>
    </font>
    <font>
      <name val="Calibri"/>
      <i val="1"/>
      <color rgb="006B7785"/>
      <sz val="9"/>
    </font>
    <font>
      <name val="Calibri"/>
      <b val="1"/>
      <color rgb="0016324F"/>
      <sz val="11"/>
    </font>
    <font>
      <name val="Calibri"/>
      <sz val="10"/>
    </font>
    <font>
      <name val="Calibri"/>
      <b val="1"/>
      <color rgb="00FFFFFF"/>
      <sz val="10"/>
    </font>
    <font>
      <name val="Calibri"/>
      <b val="1"/>
      <sz val="10"/>
    </font>
    <font>
      <b val="1"/>
      <color rgb="00000000"/>
      <sz val="10"/>
    </font>
    <font>
      <b val="1"/>
      <color rgb="00FFFFFF"/>
      <sz val="10"/>
    </font>
    <font>
      <name val="Calibri"/>
      <color rgb="006B7785"/>
      <sz val="9"/>
    </font>
  </fonts>
  <fills count="8">
    <fill>
      <patternFill/>
    </fill>
    <fill>
      <patternFill patternType="gray125"/>
    </fill>
    <fill>
      <patternFill patternType="solid">
        <fgColor rgb="00D6E1EC"/>
      </patternFill>
    </fill>
    <fill>
      <patternFill patternType="solid">
        <fgColor rgb="0016324F"/>
      </patternFill>
    </fill>
    <fill>
      <patternFill patternType="solid">
        <fgColor rgb="00FFFDF5"/>
      </patternFill>
    </fill>
    <fill>
      <patternFill patternType="solid">
        <fgColor rgb="00E8EEF4"/>
      </patternFill>
    </fill>
    <fill>
      <patternFill patternType="solid">
        <fgColor rgb="00E4F0E2"/>
      </patternFill>
    </fill>
    <fill>
      <patternFill patternType="solid">
        <fgColor rgb="00FBEEDC"/>
      </patternFill>
    </fill>
  </fills>
  <borders count="13">
    <border>
      <left/>
      <right/>
      <top/>
      <bottom/>
      <diagonal/>
    </border>
    <border>
      <left style="thin">
        <color rgb="00BFC9D4"/>
      </left>
      <right style="thin">
        <color rgb="00BFC9D4"/>
      </right>
      <top style="thin">
        <color rgb="00BFC9D4"/>
      </top>
      <bottom style="thin">
        <color rgb="00BFC9D4"/>
      </bottom>
    </border>
    <border>
      <left/>
      <right/>
      <top style="thin">
        <color rgb="00BFC9D4"/>
      </top>
      <bottom/>
      <diagonal/>
    </border>
    <border>
      <left/>
      <right style="thin">
        <color rgb="00BFC9D4"/>
      </right>
      <top style="thin">
        <color rgb="00BFC9D4"/>
      </top>
      <bottom/>
      <diagonal/>
    </border>
    <border>
      <left/>
      <right/>
      <top style="thin">
        <color rgb="00BFC9D4"/>
      </top>
      <bottom style="thin">
        <color rgb="00BFC9D4"/>
      </bottom>
      <diagonal/>
    </border>
    <border>
      <left/>
      <right style="thin">
        <color rgb="00BFC9D4"/>
      </right>
      <top style="thin">
        <color rgb="00BFC9D4"/>
      </top>
      <bottom style="thin">
        <color rgb="00BFC9D4"/>
      </bottom>
      <diagonal/>
    </border>
    <border>
      <left style="thin">
        <color rgb="00BFC9D4"/>
      </left>
      <right/>
      <top/>
      <bottom/>
      <diagonal/>
    </border>
    <border>
      <left style="thin">
        <color rgb="00BFC9D4"/>
      </left>
      <right style="thin">
        <color rgb="00BFC9D4"/>
      </right>
      <top/>
      <bottom/>
      <diagonal/>
    </border>
    <border>
      <left style="thin">
        <color rgb="00BFC9D4"/>
      </left>
      <right style="thin">
        <color rgb="00BFC9D4"/>
      </right>
      <top/>
      <bottom style="thin">
        <color rgb="00BFC9D4"/>
      </bottom>
      <diagonal/>
    </border>
    <border>
      <left/>
      <right style="thin">
        <color rgb="00BFC9D4"/>
      </right>
      <top/>
      <bottom/>
      <diagonal/>
    </border>
    <border>
      <left style="thin">
        <color rgb="00BFC9D4"/>
      </left>
      <right/>
      <top/>
      <bottom style="thin">
        <color rgb="00BFC9D4"/>
      </bottom>
      <diagonal/>
    </border>
    <border>
      <left/>
      <right/>
      <top/>
      <bottom style="thin">
        <color rgb="00BFC9D4"/>
      </bottom>
      <diagonal/>
    </border>
    <border>
      <left/>
      <right style="thin">
        <color rgb="00BFC9D4"/>
      </right>
      <top/>
      <bottom style="thin">
        <color rgb="00BFC9D4"/>
      </bottom>
      <diagonal/>
    </border>
  </borders>
  <cellStyleXfs count="1">
    <xf numFmtId="0" fontId="0" fillId="0" borderId="0"/>
  </cellStyleXfs>
  <cellXfs count="72">
    <xf numFmtId="0" fontId="0" fillId="0" borderId="0" pivotButton="0" quotePrefix="0" xfId="0"/>
    <xf numFmtId="0" fontId="1" fillId="0" borderId="0" applyAlignment="1" pivotButton="0" quotePrefix="0" xfId="0">
      <alignment horizontal="left" vertical="top"/>
    </xf>
    <xf numFmtId="0" fontId="2" fillId="0" borderId="0" applyAlignment="1" pivotButton="0" quotePrefix="0" xfId="0">
      <alignment horizontal="left" vertical="top"/>
    </xf>
    <xf numFmtId="0" fontId="3" fillId="0" borderId="0" applyAlignment="1" pivotButton="0" quotePrefix="0" xfId="0">
      <alignment horizontal="left" vertical="top"/>
    </xf>
    <xf numFmtId="0" fontId="4" fillId="2" borderId="0" applyAlignment="1" pivotButton="0" quotePrefix="0" xfId="0">
      <alignment horizontal="left" vertical="top"/>
    </xf>
    <xf numFmtId="0" fontId="0" fillId="2" borderId="0" pivotButton="0" quotePrefix="0" xfId="0"/>
    <xf numFmtId="0" fontId="5" fillId="0" borderId="0" applyAlignment="1" pivotButton="0" quotePrefix="0" xfId="0">
      <alignment vertical="top" wrapText="1"/>
    </xf>
    <xf numFmtId="0" fontId="6" fillId="3" borderId="1" applyAlignment="1" pivotButton="0" quotePrefix="0" xfId="0">
      <alignment vertical="center" wrapText="1"/>
    </xf>
    <xf numFmtId="0" fontId="7" fillId="0" borderId="1" applyAlignment="1" pivotButton="0" quotePrefix="0" xfId="0">
      <alignment vertical="top" wrapText="1"/>
    </xf>
    <xf numFmtId="0" fontId="5" fillId="0" borderId="1" applyAlignment="1" pivotButton="0" quotePrefix="0" xfId="0">
      <alignment vertical="top" wrapText="1"/>
    </xf>
    <xf numFmtId="0" fontId="8" fillId="4" borderId="1" applyAlignment="1" pivotButton="0" quotePrefix="0" xfId="0">
      <alignment vertical="top" wrapText="1"/>
    </xf>
    <xf numFmtId="0" fontId="8" fillId="5" borderId="1" applyAlignment="1" pivotButton="0" quotePrefix="0" xfId="0">
      <alignment vertical="top" wrapText="1"/>
    </xf>
    <xf numFmtId="0" fontId="9" fillId="3" borderId="1" applyAlignment="1" pivotButton="0" quotePrefix="0" xfId="0">
      <alignment vertical="top" wrapText="1"/>
    </xf>
    <xf numFmtId="0" fontId="7" fillId="0" borderId="1" applyAlignment="1" pivotButton="0" quotePrefix="0" xfId="0">
      <alignment vertical="center" wrapText="1"/>
    </xf>
    <xf numFmtId="0" fontId="3" fillId="0" borderId="0" applyAlignment="1" pivotButton="0" quotePrefix="0" xfId="0">
      <alignment vertical="top" wrapText="1"/>
    </xf>
    <xf numFmtId="0" fontId="10" fillId="0" borderId="0" applyAlignment="1" pivotButton="0" quotePrefix="0" xfId="0">
      <alignment horizontal="left" vertical="top"/>
    </xf>
    <xf numFmtId="0" fontId="5" fillId="4" borderId="1" applyAlignment="1" pivotButton="0" quotePrefix="0" xfId="0">
      <alignment vertical="top" wrapText="1"/>
    </xf>
    <xf numFmtId="164" fontId="5" fillId="4" borderId="1" applyAlignment="1" pivotButton="0" quotePrefix="0" xfId="0">
      <alignment vertical="top" wrapText="1"/>
    </xf>
    <xf numFmtId="165" fontId="5" fillId="5" borderId="1" applyAlignment="1" pivotButton="0" quotePrefix="0" xfId="0">
      <alignment vertical="top" wrapText="1"/>
    </xf>
    <xf numFmtId="166" fontId="5" fillId="4" borderId="1" applyAlignment="1" pivotButton="0" quotePrefix="0" xfId="0">
      <alignment vertical="top" wrapText="1"/>
    </xf>
    <xf numFmtId="167" fontId="5" fillId="4" borderId="1" applyAlignment="1" pivotButton="0" quotePrefix="0" xfId="0">
      <alignment vertical="top" wrapText="1"/>
    </xf>
    <xf numFmtId="167" fontId="5" fillId="5" borderId="1" applyAlignment="1" pivotButton="0" quotePrefix="0" xfId="0">
      <alignment vertical="top" wrapText="1"/>
    </xf>
    <xf numFmtId="168" fontId="5" fillId="5" borderId="1" applyAlignment="1" pivotButton="0" quotePrefix="0" xfId="0">
      <alignment vertical="top" wrapText="1"/>
    </xf>
    <xf numFmtId="169" fontId="5" fillId="5" borderId="1" applyAlignment="1" pivotButton="0" quotePrefix="0" xfId="0">
      <alignment vertical="top" wrapText="1"/>
    </xf>
    <xf numFmtId="0" fontId="5" fillId="5" borderId="1" applyAlignment="1" pivotButton="0" quotePrefix="0" xfId="0">
      <alignment vertical="top" wrapText="1"/>
    </xf>
    <xf numFmtId="0" fontId="7" fillId="4" borderId="1" applyAlignment="1" pivotButton="0" quotePrefix="0" xfId="0">
      <alignment vertical="top" wrapText="1"/>
    </xf>
    <xf numFmtId="0" fontId="3" fillId="0" borderId="1" applyAlignment="1" pivotButton="0" quotePrefix="0" xfId="0">
      <alignment vertical="top" wrapText="1"/>
    </xf>
    <xf numFmtId="0" fontId="0" fillId="0" borderId="4" pivotButton="0" quotePrefix="0" xfId="0"/>
    <xf numFmtId="0" fontId="0" fillId="0" borderId="5" pivotButton="0" quotePrefix="0" xfId="0"/>
    <xf numFmtId="166" fontId="5" fillId="5" borderId="1" applyAlignment="1" pivotButton="0" quotePrefix="0" xfId="0">
      <alignment vertical="top" wrapText="1"/>
    </xf>
    <xf numFmtId="0" fontId="7" fillId="6" borderId="1" applyAlignment="1" pivotButton="0" quotePrefix="0" xfId="0">
      <alignment vertical="center" wrapText="1"/>
    </xf>
    <xf numFmtId="0" fontId="7" fillId="7" borderId="1" applyAlignment="1" pivotButton="0" quotePrefix="0" xfId="0">
      <alignment vertical="center" wrapText="1"/>
    </xf>
    <xf numFmtId="165" fontId="5" fillId="4" borderId="1" applyAlignment="1" pivotButton="0" quotePrefix="0" xfId="0">
      <alignment vertical="top" wrapText="1"/>
    </xf>
    <xf numFmtId="9" fontId="5" fillId="4" borderId="1" applyAlignment="1" pivotButton="0" quotePrefix="0" xfId="0">
      <alignment vertical="top" wrapText="1"/>
    </xf>
    <xf numFmtId="165" fontId="7" fillId="5" borderId="1" applyAlignment="1" pivotButton="0" quotePrefix="0" xfId="0">
      <alignment vertical="top" wrapText="1"/>
    </xf>
    <xf numFmtId="167" fontId="5" fillId="5" borderId="1" applyAlignment="1" pivotButton="0" quotePrefix="0" xfId="0">
      <alignment vertical="center" wrapText="1"/>
    </xf>
    <xf numFmtId="167" fontId="7" fillId="0" borderId="1" applyAlignment="1" pivotButton="0" quotePrefix="0" xfId="0">
      <alignment vertical="center" wrapText="1"/>
    </xf>
    <xf numFmtId="0" fontId="1" fillId="5" borderId="0" applyAlignment="1" pivotButton="0" quotePrefix="0" xfId="0">
      <alignment horizontal="left" vertical="top"/>
    </xf>
    <xf numFmtId="0" fontId="2" fillId="5" borderId="0" applyAlignment="1" pivotButton="0" quotePrefix="0" xfId="0">
      <alignment horizontal="left" vertical="top"/>
    </xf>
    <xf numFmtId="0" fontId="3" fillId="2" borderId="1" applyAlignment="1" pivotButton="0" quotePrefix="0" xfId="0">
      <alignment vertical="top" wrapText="1"/>
    </xf>
    <xf numFmtId="0" fontId="0" fillId="0" borderId="7" pivotButton="0" quotePrefix="0" xfId="0"/>
    <xf numFmtId="0" fontId="0" fillId="0" borderId="8" pivotButton="0" quotePrefix="0" xfId="0"/>
    <xf numFmtId="0" fontId="3" fillId="5" borderId="1" applyAlignment="1" pivotButton="0" quotePrefix="0" xfId="0">
      <alignment vertical="top" wrapText="1"/>
    </xf>
    <xf numFmtId="0" fontId="7" fillId="2" borderId="1" applyAlignment="1" pivotButton="0" quotePrefix="0" xfId="0">
      <alignment vertical="top" wrapText="1"/>
    </xf>
    <xf numFmtId="0" fontId="0" fillId="0" borderId="2" pivotButton="0" quotePrefix="0" xfId="0"/>
    <xf numFmtId="0" fontId="0" fillId="0" borderId="3" pivotButton="0" quotePrefix="0" xfId="0"/>
    <xf numFmtId="0" fontId="0" fillId="0" borderId="6"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12" pivotButton="0" quotePrefix="0" xfId="0"/>
    <xf numFmtId="0" fontId="7" fillId="5" borderId="1" applyAlignment="1" pivotButton="0" quotePrefix="0" xfId="0">
      <alignment vertical="top" wrapText="1"/>
    </xf>
    <xf numFmtId="0" fontId="7" fillId="5" borderId="1" applyAlignment="1" pivotButton="0" quotePrefix="0" xfId="0">
      <alignment vertical="center" wrapText="1"/>
    </xf>
    <xf numFmtId="169" fontId="5" fillId="5" borderId="1" applyAlignment="1" pivotButton="0" quotePrefix="0" xfId="0">
      <alignment vertical="center" wrapText="1"/>
    </xf>
    <xf numFmtId="165" fontId="5" fillId="5" borderId="1" applyAlignment="1" pivotButton="0" quotePrefix="0" xfId="0">
      <alignment vertical="center" wrapText="1"/>
    </xf>
    <xf numFmtId="0" fontId="7" fillId="0" borderId="0" applyAlignment="1" pivotButton="0" quotePrefix="0" xfId="0">
      <alignment vertical="top" wrapText="1"/>
    </xf>
    <xf numFmtId="0" fontId="5" fillId="4" borderId="1" applyAlignment="1" pivotButton="0" quotePrefix="0" xfId="0">
      <alignment vertical="center" wrapText="1"/>
    </xf>
    <xf numFmtId="9" fontId="5" fillId="4" borderId="1" applyAlignment="1" pivotButton="0" quotePrefix="0" xfId="0">
      <alignment vertical="center" wrapText="1"/>
    </xf>
    <xf numFmtId="167" fontId="5" fillId="4" borderId="1" applyAlignment="1" pivotButton="0" quotePrefix="0" xfId="0">
      <alignment vertical="center" wrapText="1"/>
    </xf>
    <xf numFmtId="168" fontId="5" fillId="5" borderId="1" applyAlignment="1" pivotButton="0" quotePrefix="0" xfId="0">
      <alignment vertical="center" wrapText="1"/>
    </xf>
    <xf numFmtId="0" fontId="5" fillId="5" borderId="1" applyAlignment="1" pivotButton="0" quotePrefix="0" xfId="0">
      <alignment vertical="center" wrapText="1"/>
    </xf>
    <xf numFmtId="166" fontId="5" fillId="4" borderId="1" applyAlignment="1" pivotButton="0" quotePrefix="0" xfId="0">
      <alignment vertical="top" wrapText="1"/>
    </xf>
    <xf numFmtId="167" fontId="5" fillId="4" borderId="1" applyAlignment="1" pivotButton="0" quotePrefix="0" xfId="0">
      <alignment vertical="top" wrapText="1"/>
    </xf>
    <xf numFmtId="167" fontId="5" fillId="5" borderId="1" applyAlignment="1" pivotButton="0" quotePrefix="0" xfId="0">
      <alignment vertical="top" wrapText="1"/>
    </xf>
    <xf numFmtId="168" fontId="5" fillId="5" borderId="1" applyAlignment="1" pivotButton="0" quotePrefix="0" xfId="0">
      <alignment vertical="top" wrapText="1"/>
    </xf>
    <xf numFmtId="169" fontId="5" fillId="5" borderId="1" applyAlignment="1" pivotButton="0" quotePrefix="0" xfId="0">
      <alignment vertical="top" wrapText="1"/>
    </xf>
    <xf numFmtId="166" fontId="5" fillId="5" borderId="1" applyAlignment="1" pivotButton="0" quotePrefix="0" xfId="0">
      <alignment vertical="top" wrapText="1"/>
    </xf>
    <xf numFmtId="167" fontId="5" fillId="5" borderId="1" applyAlignment="1" pivotButton="0" quotePrefix="0" xfId="0">
      <alignment vertical="center" wrapText="1"/>
    </xf>
    <xf numFmtId="167" fontId="7" fillId="0" borderId="1" applyAlignment="1" pivotButton="0" quotePrefix="0" xfId="0">
      <alignment vertical="center" wrapText="1"/>
    </xf>
    <xf numFmtId="169" fontId="5" fillId="5" borderId="1" applyAlignment="1" pivotButton="0" quotePrefix="0" xfId="0">
      <alignment vertical="center" wrapText="1"/>
    </xf>
    <xf numFmtId="167" fontId="5" fillId="4" borderId="1" applyAlignment="1" pivotButton="0" quotePrefix="0" xfId="0">
      <alignment vertical="center" wrapText="1"/>
    </xf>
    <xf numFmtId="168" fontId="5"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6324F"/>
    <outlinePr summaryBelow="1" summaryRight="1"/>
    <pageSetUpPr fitToPage="1"/>
  </sheetPr>
  <dimension ref="A1:D54"/>
  <sheetViews>
    <sheetView workbookViewId="0">
      <selection activeCell="A1" sqref="A1"/>
    </sheetView>
  </sheetViews>
  <sheetFormatPr baseColWidth="8" defaultRowHeight="15"/>
  <cols>
    <col width="26" customWidth="1" min="1" max="1"/>
    <col width="46" customWidth="1" min="2" max="2"/>
    <col width="42" customWidth="1" min="3" max="3"/>
    <col width="34" customWidth="1" min="4" max="4"/>
  </cols>
  <sheetData>
    <row r="1">
      <c r="A1" s="1" t="inlineStr">
        <is>
          <t>Logic Model Builder for Grant Proposals</t>
        </is>
      </c>
    </row>
    <row r="2">
      <c r="A2" s="2" t="inlineStr">
        <is>
          <t>Inputs, activities, outputs, outcomes, impact: built backwards, linked cell to cell, and checked by formula before a reviewer checks it for you.</t>
        </is>
      </c>
    </row>
    <row r="3">
      <c r="A3" s="3" t="inlineStr">
        <is>
          <t>Every count, total, percentage, assembled sentence and status message in this workbook is a live formula. Change one number in Program Setup and the whole chain moves.</t>
        </is>
      </c>
    </row>
    <row r="5" ht="20" customHeight="1">
      <c r="A5" s="4" t="inlineStr">
        <is>
          <t>WHAT THIS WORKBOOK IS</t>
        </is>
      </c>
      <c r="B5" s="5" t="n"/>
      <c r="C5" s="5" t="n"/>
      <c r="D5" s="5" t="n"/>
    </row>
    <row r="6" ht="58" customHeight="1">
      <c r="A6" s="6" t="inlineStr">
        <is>
          <t>A logic model is a one-page diagram connecting the resources a program uses to the results it promises. Five columns: inputs, activities, outputs, outcomes, impact. Funders read it as a consistency check, because the budget, the workplan and the promised results should all be describing the same project.</t>
        </is>
      </c>
    </row>
    <row r="7" ht="58" customHeight="1">
      <c r="A7" s="6" t="inlineStr">
        <is>
          <t>Most grant writers build the diagram last, reverse-engineering it out of finished narrative. That reproduces whatever gaps the narrative already has. This workbook makes you build it the other way, impact first, then outcomes, outputs, activities, and finally the priced inputs, because that direction surfaces the gaps while there is still time to fix them.</t>
        </is>
      </c>
    </row>
    <row r="8" ht="58" customHeight="1">
      <c r="A8" s="6" t="inlineStr">
        <is>
          <t>The workbook ships fully populated with a composite example: a small literacy nonprofit running after-school tutoring at one elementary school on a $25,000 request. It is an illustration, not a real organization. Overwrite it with your own program. A second complete example (a two-year workforce training partnership) sits on the Example Workforce tab to show that the same structure transfers.</t>
        </is>
      </c>
    </row>
    <row r="10" ht="20" customHeight="1">
      <c r="A10" s="4" t="inlineStr">
        <is>
          <t>THE TABS, IN THE ORDER YOU USE THEM</t>
        </is>
      </c>
      <c r="B10" s="5" t="n"/>
      <c r="C10" s="5" t="n"/>
      <c r="D10" s="5" t="n"/>
    </row>
    <row r="11" ht="34" customHeight="1">
      <c r="A11" s="7" t="inlineStr">
        <is>
          <t>Tab</t>
        </is>
      </c>
      <c r="B11" s="7" t="inlineStr">
        <is>
          <t>What it is for</t>
        </is>
      </c>
      <c r="C11" s="7" t="inlineStr">
        <is>
          <t>What you enter</t>
        </is>
      </c>
      <c r="D11" s="7" t="inlineStr">
        <is>
          <t>What it calculates</t>
        </is>
      </c>
    </row>
    <row r="12" ht="46" customHeight="1">
      <c r="A12" s="8" t="inlineStr">
        <is>
          <t>Program Setup</t>
        </is>
      </c>
      <c r="B12" s="9" t="inlineStr">
        <is>
          <t>The facts every other sheet reads from: term dates, schedule, headcounts, and the funder's award ceiling.</t>
        </is>
      </c>
      <c r="C12" s="9" t="inlineStr">
        <is>
          <t>Program facts only. Nothing here is a formula except the computed block.</t>
        </is>
      </c>
      <c r="D12" s="9" t="inlineStr">
        <is>
          <t>Term length, session counts, assessments due, cost per participant, cost per session, and the request total pulled back from the priced inputs.</t>
        </is>
      </c>
    </row>
    <row r="13" ht="46" customHeight="1">
      <c r="A13" s="8" t="inlineStr">
        <is>
          <t>1 Impact</t>
        </is>
      </c>
      <c r="B13" s="9" t="inlineStr">
        <is>
          <t>Step one of building backwards. The long-term condition the project contributes to, written in one honest sentence.</t>
        </is>
      </c>
      <c r="C13" s="9" t="inlineStr">
        <is>
          <t>The condition, the population, the geography, and how many people the condition affects.</t>
        </is>
      </c>
      <c r="D13" s="9" t="inlineStr">
        <is>
          <t>An assembled impact sentence, the share of the affected population you actually reach, a word-count check, and a scan for ownership language that outruns the award.</t>
        </is>
      </c>
    </row>
    <row r="14" ht="46" customHeight="1">
      <c r="A14" s="8" t="inlineStr">
        <is>
          <t>2 Outcomes</t>
        </is>
      </c>
      <c r="B14" s="9" t="inlineStr">
        <is>
          <t>Step two. What changes, for whom, by when, and by how much, split into short-term and medium-term.</t>
        </is>
      </c>
      <c r="C14" s="9" t="inlineStr">
        <is>
          <t>One row per outcome, with the measure, data source, collection schedule and owner.</t>
        </is>
      </c>
      <c r="D14" s="9" t="inlineStr">
        <is>
          <t>The percentage each target represents, an assembled outcome sentence you reuse verbatim in the objectives and the evaluation plan, and a per-row completeness check.</t>
        </is>
      </c>
    </row>
    <row r="15" ht="46" customHeight="1">
      <c r="A15" s="8" t="inlineStr">
        <is>
          <t>3 Outputs</t>
        </is>
      </c>
      <c r="B15" s="9" t="inlineStr">
        <is>
          <t>Step three. The countable evidence that the work happened.</t>
        </is>
      </c>
      <c r="C15" s="9" t="inlineStr">
        <is>
          <t>One row per output, the count you are claiming, and the outcome it belongs to.</t>
        </is>
      </c>
      <c r="D15" s="9" t="inlineStr">
        <is>
          <t>The same count computed independently from the schedule in Program Setup, a match test between the two, and an orphan check for outputs with no outcome attached.</t>
        </is>
      </c>
    </row>
    <row r="16" ht="46" customHeight="1">
      <c r="A16" s="8" t="inlineStr">
        <is>
          <t>4 Activities</t>
        </is>
      </c>
      <c r="B16" s="9" t="inlineStr">
        <is>
          <t>Step four. Only the activities that produce the outputs you just listed.</t>
        </is>
      </c>
      <c r="C16" s="9" t="inlineStr">
        <is>
          <t>One row per activity, who delivers it, how often, and which output it produces.</t>
        </is>
      </c>
      <c r="D16" s="9" t="inlineStr">
        <is>
          <t>Units planned against the output target, a flag for any activity with no output attached, and a count of rows that are really project management rather than program delivery.</t>
        </is>
      </c>
    </row>
    <row r="17" ht="46" customHeight="1">
      <c r="A17" s="8" t="inlineStr">
        <is>
          <t>5 Inputs</t>
        </is>
      </c>
      <c r="B17" s="9" t="inlineStr">
        <is>
          <t>Step five. Walk each activity back to the staff time, space, materials and partner capacity it needs, and price it.</t>
        </is>
      </c>
      <c r="C17" s="9" t="inlineStr">
        <is>
          <t>Quantity, unit, rate, whether the grant or an in-kind source pays, and which activities the input supports.</t>
        </is>
      </c>
      <c r="D17" s="9" t="inlineStr">
        <is>
          <t>Line cost, direct total, indirect allocation, total request, in-kind value, total project value, cost by category, and whether the request clears the funder's ceiling.</t>
        </is>
      </c>
    </row>
    <row r="18" ht="46" customHeight="1">
      <c r="A18" s="8" t="inlineStr">
        <is>
          <t>Assumptions</t>
        </is>
      </c>
      <c r="B18" s="9" t="inlineStr">
        <is>
          <t>What has to be true for the chain to hold, and what could break it.</t>
        </is>
      </c>
      <c r="C18" s="9" t="inlineStr">
        <is>
          <t>One row per assumption, who controls it, the chance it fails, the damage if it does, and the fallback.</t>
        </is>
      </c>
      <c r="D18" s="9" t="inlineStr">
        <is>
          <t>A risk score, a ranked instruction for each row, and a count of assumptions with no fallback written.</t>
        </is>
      </c>
    </row>
    <row r="19" ht="46" customHeight="1">
      <c r="A19" s="8" t="inlineStr">
        <is>
          <t>One-Page Model</t>
        </is>
      </c>
      <c r="B19" s="9" t="inlineStr">
        <is>
          <t>The deliverable. Five columns assembled entirely from the register sheets, no cell here is typed.</t>
        </is>
      </c>
      <c r="C19" s="9" t="inlineStr">
        <is>
          <t>Nothing. Every cell is a link.</t>
        </is>
      </c>
      <c r="D19" s="9" t="inlineStr">
        <is>
          <t>The five-column page, the assumptions line underneath, and the whole chain read back as a single sentence.</t>
        </is>
      </c>
    </row>
    <row r="20" ht="46" customHeight="1">
      <c r="A20" s="8" t="inlineStr">
        <is>
          <t>Chain Check</t>
        </is>
      </c>
      <c r="B20" s="9" t="inlineStr">
        <is>
          <t>The pre-submission validator. Fifteen tests of the logic, all live.</t>
        </is>
      </c>
      <c r="C20" s="9" t="inlineStr">
        <is>
          <t>Nothing.</t>
        </is>
      </c>
      <c r="D20" s="9" t="inlineStr">
        <is>
          <t>Pass or Fix on each test, a count of the failures, a score, and a verdict.</t>
        </is>
      </c>
    </row>
    <row r="21" ht="46" customHeight="1">
      <c r="A21" s="8" t="inlineStr">
        <is>
          <t>Narrative Map</t>
        </is>
      </c>
      <c r="B21" s="9" t="inlineStr">
        <is>
          <t>Each column turned into the proposal text it feeds, ready to copy.</t>
        </is>
      </c>
      <c r="C21" s="9" t="inlineStr">
        <is>
          <t>Nothing.</t>
        </is>
      </c>
      <c r="D21" s="9" t="inlineStr">
        <is>
          <t>Assembled paragraphs for the statement of need, goals and objectives, evaluation plan, project description, reporting commitments and budget narrative.</t>
        </is>
      </c>
    </row>
    <row r="22" ht="46" customHeight="1">
      <c r="A22" s="8" t="inlineStr">
        <is>
          <t>Funder Crosswalk</t>
        </is>
      </c>
      <c r="B22" s="9" t="inlineStr">
        <is>
          <t>Funder templates rename the columns. This maps their headings onto the five.</t>
        </is>
      </c>
      <c r="C22" s="9" t="inlineStr">
        <is>
          <t>The headings printed on the funder's form, and which of the five columns each one is.</t>
        </is>
      </c>
      <c r="D22" s="9" t="inlineStr">
        <is>
          <t>Coverage counts for all five columns and a warning for any column the form never asks about.</t>
        </is>
      </c>
    </row>
    <row r="23" ht="46" customHeight="1">
      <c r="A23" s="8" t="inlineStr">
        <is>
          <t>Outputs vs Outcomes</t>
        </is>
      </c>
      <c r="B23" s="9" t="inlineStr">
        <is>
          <t>A common failure: an outputs column dressed up as outcomes.</t>
        </is>
      </c>
      <c r="C23" s="9" t="inlineStr">
        <is>
          <t>Your own call on fourteen sample statements.</t>
        </is>
      </c>
      <c r="D23" s="9" t="inlineStr">
        <is>
          <t>A graded answer against the key and a score.</t>
        </is>
      </c>
    </row>
    <row r="24" ht="46" customHeight="1">
      <c r="A24" s="8" t="inlineStr">
        <is>
          <t>Example Workforce</t>
        </is>
      </c>
      <c r="B24" s="9" t="inlineStr">
        <is>
          <t>A second complete model on a different program type and a different scale.</t>
        </is>
      </c>
      <c r="C24" s="9" t="inlineStr">
        <is>
          <t>Nothing. It is a reference.</t>
        </is>
      </c>
      <c r="D24" s="9" t="inlineStr">
        <is>
          <t>The example's own arithmetic, live, so you can see the counts derive from the schedule.</t>
        </is>
      </c>
    </row>
    <row r="25" ht="46" customHeight="1">
      <c r="A25" s="8" t="inlineStr">
        <is>
          <t>Reporting Tracker</t>
        </is>
      </c>
      <c r="B25" s="9" t="inlineStr">
        <is>
          <t>After the award. The outputs and outcomes columns are your reporting schedule.</t>
        </is>
      </c>
      <c r="C25" s="9" t="inlineStr">
        <is>
          <t>Quarters completed, and one actual per item per quarter.</t>
        </is>
      </c>
      <c r="D25" s="9" t="inlineStr">
        <is>
          <t>Total to date, percent of target, what should have been reached by now, the variance, a pace flag, and the sentence to write when you are going to miss a target.</t>
        </is>
      </c>
    </row>
    <row r="26" ht="46" customHeight="1">
      <c r="A26" s="8" t="inlineStr">
        <is>
          <t>Reviewer Cross-Check</t>
        </is>
      </c>
      <c r="B26" s="9" t="inlineStr">
        <is>
          <t>The four documents a reviewer reads the model against.</t>
        </is>
      </c>
      <c r="C26" s="9" t="inlineStr">
        <is>
          <t>Yes or No on twenty checks.</t>
        </is>
      </c>
      <c r="D26" s="9" t="inlineStr">
        <is>
          <t>A pass rate per document, an overall score, and the specific contradiction each No creates.</t>
        </is>
      </c>
    </row>
    <row r="28" ht="20" customHeight="1">
      <c r="A28" s="4" t="inlineStr">
        <is>
          <t>HOW THE SHEETS ARE LINKED</t>
        </is>
      </c>
      <c r="B28" s="5" t="n"/>
      <c r="C28" s="5" t="n"/>
      <c r="D28" s="5" t="n"/>
    </row>
    <row r="29" ht="46" customHeight="1">
      <c r="A29" s="6" t="inlineStr">
        <is>
          <t>Program Setup is the single source of the schedule. Sessions, assessments, participants and volunteers all derive from it, so changing the term from twenty-four weeks to twenty moves the output counts, the input quantities, the request total and the reporting targets in one edit.</t>
        </is>
      </c>
    </row>
    <row r="30" ht="46" customHeight="1">
      <c r="A30" s="6" t="inlineStr">
        <is>
          <t>Outcome IDs (OC-1, OC-2 ...) are the spine. Outputs point at an outcome ID. Activities point at an output ID. Inputs point at activity IDs. Every orphan in that chain is caught by a formula, because an unattached row is the article's test for something that does not belong in the model.</t>
        </is>
      </c>
    </row>
    <row r="31" ht="46" customHeight="1">
      <c r="A31" s="6" t="inlineStr">
        <is>
          <t>The outcome sentence is written once, in column N of the Outcomes sheet, and pulled from there into the One-Page Model, the Narrative Map and the Reporting Tracker. Three sections of the application then carry identical wording without anyone retyping it.</t>
        </is>
      </c>
    </row>
    <row r="32" ht="46" customHeight="1">
      <c r="A32" s="6" t="inlineStr">
        <is>
          <t>The request amount on Program Setup is not typed. It is the sum of the priced inputs plus the indirect allocation. Add a line to the budget and the request moves; the ceiling check tells you whether you have just gone over.</t>
        </is>
      </c>
    </row>
    <row r="34" ht="20" customHeight="1">
      <c r="A34" s="4" t="inlineStr">
        <is>
          <t>COLOUR KEY</t>
        </is>
      </c>
      <c r="B34" s="5" t="n"/>
      <c r="C34" s="5" t="n"/>
      <c r="D34" s="5" t="n"/>
    </row>
    <row r="35" ht="20" customHeight="1">
      <c r="A35" s="7" t="inlineStr">
        <is>
          <t>Colour</t>
        </is>
      </c>
      <c r="B35" s="7" t="inlineStr">
        <is>
          <t>Meaning</t>
        </is>
      </c>
      <c r="C35" s="7" t="inlineStr">
        <is>
          <t>What to do with it</t>
        </is>
      </c>
      <c r="D35" s="7" t="inlineStr"/>
    </row>
    <row r="36">
      <c r="A36" s="10" t="inlineStr">
        <is>
          <t>Cream</t>
        </is>
      </c>
      <c r="B36" s="9" t="inlineStr">
        <is>
          <t>A cell you type into.</t>
        </is>
      </c>
      <c r="C36" s="9" t="inlineStr">
        <is>
          <t>Overwrite the example content with your own.</t>
        </is>
      </c>
      <c r="D36" s="9" t="inlineStr"/>
    </row>
    <row r="37">
      <c r="A37" s="11" t="inlineStr">
        <is>
          <t>Pale blue</t>
        </is>
      </c>
      <c r="B37" s="9" t="inlineStr">
        <is>
          <t>A live formula.</t>
        </is>
      </c>
      <c r="C37" s="9" t="inlineStr">
        <is>
          <t>Do not type over it. If the number looks wrong, the entry it reads from is wrong.</t>
        </is>
      </c>
      <c r="D37" s="9" t="inlineStr"/>
    </row>
    <row r="38">
      <c r="A38" s="12" t="inlineStr">
        <is>
          <t>Navy</t>
        </is>
      </c>
      <c r="B38" s="9" t="inlineStr">
        <is>
          <t>A column header.</t>
        </is>
      </c>
      <c r="C38" s="9" t="inlineStr">
        <is>
          <t>Structural. Leave it alone.</t>
        </is>
      </c>
      <c r="D38" s="9" t="inlineStr"/>
    </row>
    <row r="40" ht="20" customHeight="1">
      <c r="A40" s="4" t="inlineStr">
        <is>
          <t>THE BUILD ORDER, IN SEVEN STEPS</t>
        </is>
      </c>
      <c r="B40" s="5" t="n"/>
      <c r="C40" s="5" t="n"/>
      <c r="D40" s="5" t="n"/>
    </row>
    <row r="41" ht="20" customHeight="1">
      <c r="A41" s="7" t="inlineStr">
        <is>
          <t>Step</t>
        </is>
      </c>
      <c r="B41" s="7" t="inlineStr">
        <is>
          <t>Do this</t>
        </is>
      </c>
      <c r="C41" s="7" t="inlineStr">
        <is>
          <t>The test it applies</t>
        </is>
      </c>
      <c r="D41" s="7" t="inlineStr">
        <is>
          <t>Tab</t>
        </is>
      </c>
    </row>
    <row r="42" ht="42" customHeight="1">
      <c r="A42" s="13" t="inlineStr">
        <is>
          <t>1</t>
        </is>
      </c>
      <c r="B42" s="9" t="inlineStr">
        <is>
          <t>Name the impact. Write the long-term condition the project contributes to, in plain language, in one sentence, honest about scale.</t>
        </is>
      </c>
      <c r="C42" s="9" t="inlineStr">
        <is>
          <t>A two-year single-site program contributes to a community condition. It does not eliminate one.</t>
        </is>
      </c>
      <c r="D42" s="9" t="inlineStr">
        <is>
          <t>1 Impact</t>
        </is>
      </c>
    </row>
    <row r="43" ht="42" customHeight="1">
      <c r="A43" s="13" t="inlineStr">
        <is>
          <t>2</t>
        </is>
      </c>
      <c r="B43" s="9" t="inlineStr">
        <is>
          <t>Write the outcomes. For each one answer four questions: what changes, for whom, by when, by how much. Split short-term from medium-term.</t>
        </is>
      </c>
      <c r="C43" s="9" t="inlineStr">
        <is>
          <t>If you cannot name the instrument that produces the number at report time, it is not an outcome yet.</t>
        </is>
      </c>
      <c r="D43" s="9" t="inlineStr">
        <is>
          <t>2 Outcomes</t>
        </is>
      </c>
    </row>
    <row r="44" ht="42" customHeight="1">
      <c r="A44" s="13" t="inlineStr">
        <is>
          <t>3</t>
        </is>
      </c>
      <c r="B44" s="9" t="inlineStr">
        <is>
          <t>Set the outputs. For every outcome, name the countable evidence that the work happened.</t>
        </is>
      </c>
      <c r="C44" s="9" t="inlineStr">
        <is>
          <t>Outputs have to survive arithmetic. Two sessions a week across twenty-four weeks is forty-eight, not sixty.</t>
        </is>
      </c>
      <c r="D44" s="9" t="inlineStr">
        <is>
          <t>3 Outputs</t>
        </is>
      </c>
    </row>
    <row r="45" ht="42" customHeight="1">
      <c r="A45" s="13" t="inlineStr">
        <is>
          <t>4</t>
        </is>
      </c>
      <c r="B45" s="9" t="inlineStr">
        <is>
          <t>List the activities. Only the ones that produce the outputs you just listed.</t>
        </is>
      </c>
      <c r="C45" s="9" t="inlineStr">
        <is>
          <t>An activity with no output attached is either missing a measure or does not belong in this proposal.</t>
        </is>
      </c>
      <c r="D45" s="9" t="inlineStr">
        <is>
          <t>4 Activities</t>
        </is>
      </c>
    </row>
    <row r="46" ht="42" customHeight="1">
      <c r="A46" s="13" t="inlineStr">
        <is>
          <t>5</t>
        </is>
      </c>
      <c r="B46" s="9" t="inlineStr">
        <is>
          <t>Price the inputs. Walk each activity back to staff time, space, materials and partner capacity.</t>
        </is>
      </c>
      <c r="C46" s="9" t="inlineStr">
        <is>
          <t>The inputs column has to match the budget line by line. This step is where an overreaching workplan gets cut.</t>
        </is>
      </c>
      <c r="D46" s="9" t="inlineStr">
        <is>
          <t>5 Inputs</t>
        </is>
      </c>
    </row>
    <row r="47" ht="42" customHeight="1">
      <c r="A47" s="13" t="inlineStr">
        <is>
          <t>6</t>
        </is>
      </c>
      <c r="B47" s="9" t="inlineStr">
        <is>
          <t>Add assumptions and external factors underneath the columns.</t>
        </is>
      </c>
      <c r="C47" s="9" t="inlineStr">
        <is>
          <t>Naming what could break the chain signals that you have thought past the best case.</t>
        </is>
      </c>
      <c r="D47" s="9" t="inlineStr">
        <is>
          <t>Assumptions</t>
        </is>
      </c>
    </row>
    <row r="48" ht="42" customHeight="1">
      <c r="A48" s="13" t="inlineStr">
        <is>
          <t>7</t>
        </is>
      </c>
      <c r="B48" s="9" t="inlineStr">
        <is>
          <t>Read it back as a sentence, left to right.</t>
        </is>
      </c>
      <c r="C48" s="9" t="inlineStr">
        <is>
          <t>If any link needs a paragraph of explanation to make sense, the chain has a hole.</t>
        </is>
      </c>
      <c r="D48" s="9" t="inlineStr">
        <is>
          <t>One-Page Model</t>
        </is>
      </c>
    </row>
    <row r="50" ht="46" customHeight="1">
      <c r="A50" s="6" t="inlineStr">
        <is>
          <t>Steps two through five need a working session with program staff, not a solo drafting hour. The people who have to deliver the program are the ones who can tell you which links are thin. Expect the session to change at least one outcome, and expect at least one activity to fall out of the model entirely once somebody asks who is running it on a Tuesday afternoon.</t>
        </is>
      </c>
    </row>
    <row r="52" ht="42" customHeight="1">
      <c r="A52" s="14" t="inlineStr">
        <is>
          <t>Composite example notice: Riverbend Literacy Collaborative and Cedar Valley Workforce Partners are invented illustrations. No real organisation, funder, person or statistic appears anywhere in this workbook. Every dollar figure, headcount and target is a worked illustration for you to replace.</t>
        </is>
      </c>
    </row>
    <row r="54">
      <c r="A54" s="15" t="inlineStr">
        <is>
          <t>GrantCue - grantcue.com/blog/logic-model-for-grant-writing</t>
        </is>
      </c>
    </row>
  </sheetData>
  <mergeCells count="9">
    <mergeCell ref="A8:D8"/>
    <mergeCell ref="A31:D31"/>
    <mergeCell ref="A6:D6"/>
    <mergeCell ref="A50:D50"/>
    <mergeCell ref="A30:D30"/>
    <mergeCell ref="A29:D29"/>
    <mergeCell ref="A7:D7"/>
    <mergeCell ref="A52:D52"/>
    <mergeCell ref="A32:D32"/>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2E5E8A"/>
    <outlinePr summaryBelow="1" summaryRight="1"/>
    <pageSetUpPr fitToPage="1"/>
  </sheetPr>
  <dimension ref="A1:C48"/>
  <sheetViews>
    <sheetView workbookViewId="0">
      <pane ySplit="6" topLeftCell="A7" activePane="bottomLeft" state="frozen"/>
      <selection pane="bottomLeft" activeCell="A1" sqref="A1"/>
    </sheetView>
  </sheetViews>
  <sheetFormatPr baseColWidth="8" defaultRowHeight="15"/>
  <cols>
    <col width="42" customWidth="1" min="1" max="1"/>
    <col width="24" customWidth="1" min="2" max="2"/>
    <col width="62" customWidth="1" min="3" max="3"/>
  </cols>
  <sheetData>
    <row r="1">
      <c r="A1" s="1" t="inlineStr">
        <is>
          <t>Program Setup</t>
        </is>
      </c>
    </row>
    <row r="2">
      <c r="A2" s="2" t="inlineStr">
        <is>
          <t>The facts every other sheet reads from. Type in the cream cells only.</t>
        </is>
      </c>
    </row>
    <row r="3">
      <c r="A3" s="3" t="inlineStr">
        <is>
          <t>Example content shown is a composite after-school literacy program. Overwrite it.</t>
        </is>
      </c>
    </row>
    <row r="5" ht="20" customHeight="1">
      <c r="A5" s="4" t="inlineStr">
        <is>
          <t>PROGRAM FACTS: you enter these</t>
        </is>
      </c>
      <c r="B5" s="5" t="n"/>
      <c r="C5" s="5" t="n"/>
    </row>
    <row r="6" ht="20" customHeight="1">
      <c r="A6" s="7" t="inlineStr">
        <is>
          <t>Field</t>
        </is>
      </c>
      <c r="B6" s="7" t="inlineStr">
        <is>
          <t>Your entry</t>
        </is>
      </c>
      <c r="C6" s="7" t="inlineStr">
        <is>
          <t>Where it is used</t>
        </is>
      </c>
    </row>
    <row r="7" ht="30" customHeight="1">
      <c r="A7" s="8" t="inlineStr">
        <is>
          <t>Organisation name</t>
        </is>
      </c>
      <c r="B7" s="16" t="inlineStr">
        <is>
          <t>Riverbend Literacy Collaborative (composite example)</t>
        </is>
      </c>
      <c r="C7" s="9" t="inlineStr">
        <is>
          <t>Header of the One-Page Model.</t>
        </is>
      </c>
    </row>
    <row r="8" ht="30" customHeight="1">
      <c r="A8" s="8" t="inlineStr">
        <is>
          <t>Program name</t>
        </is>
      </c>
      <c r="B8" s="16" t="inlineStr">
        <is>
          <t>Second Grade Reading Partners</t>
        </is>
      </c>
      <c r="C8" s="9" t="inlineStr">
        <is>
          <t>Header of the One-Page Model and the Narrative Map.</t>
        </is>
      </c>
    </row>
    <row r="9" ht="30" customHeight="1">
      <c r="A9" s="8" t="inlineStr">
        <is>
          <t>Funder's maximum award</t>
        </is>
      </c>
      <c r="B9" s="17" t="n">
        <v>25000</v>
      </c>
      <c r="C9" s="9" t="inlineStr">
        <is>
          <t>Checked against the request built from your priced inputs.</t>
        </is>
      </c>
    </row>
    <row r="10" ht="30" customHeight="1">
      <c r="A10" s="8" t="inlineStr">
        <is>
          <t>Request built from priced inputs</t>
        </is>
      </c>
      <c r="B10" s="18">
        <f>'5 Inputs'!I26</f>
        <v/>
      </c>
      <c r="C10" s="9" t="inlineStr">
        <is>
          <t>Not typed. Direct costs plus the indirect allocation, from the Inputs sheet. Add a budget line and this moves.</t>
        </is>
      </c>
    </row>
    <row r="11" ht="30" customHeight="1">
      <c r="A11" s="8" t="inlineStr">
        <is>
          <t>Grant term start</t>
        </is>
      </c>
      <c r="B11" s="61" t="n">
        <v>46637</v>
      </c>
      <c r="C11" s="9" t="inlineStr">
        <is>
          <t>Term length, schedule feasibility, reporting periods.</t>
        </is>
      </c>
    </row>
    <row r="12" ht="30" customHeight="1">
      <c r="A12" s="8" t="inlineStr">
        <is>
          <t>Grant term end</t>
        </is>
      </c>
      <c r="B12" s="61" t="n">
        <v>46920</v>
      </c>
      <c r="C12" s="9" t="inlineStr">
        <is>
          <t>Term length, schedule feasibility, reporting periods.</t>
        </is>
      </c>
    </row>
    <row r="13" ht="30" customHeight="1">
      <c r="A13" s="8" t="inlineStr">
        <is>
          <t>Program weeks in the term</t>
        </is>
      </c>
      <c r="B13" s="62" t="n">
        <v>24</v>
      </c>
      <c r="C13" s="9" t="inlineStr">
        <is>
          <t>Session count, weekly supply quantities, output arithmetic.</t>
        </is>
      </c>
    </row>
    <row r="14" ht="30" customHeight="1">
      <c r="A14" s="8" t="inlineStr">
        <is>
          <t>Sessions per week</t>
        </is>
      </c>
      <c r="B14" s="62" t="n">
        <v>2</v>
      </c>
      <c r="C14" s="9" t="inlineStr">
        <is>
          <t>Session count and the tutoring output.</t>
        </is>
      </c>
    </row>
    <row r="15" ht="30" customHeight="1">
      <c r="A15" s="8" t="inlineStr">
        <is>
          <t>Session length (minutes)</t>
        </is>
      </c>
      <c r="B15" s="62" t="n">
        <v>90</v>
      </c>
      <c r="C15" s="9" t="inlineStr">
        <is>
          <t>Programming hours and cost per hour.</t>
        </is>
      </c>
    </row>
    <row r="16" ht="30" customHeight="1">
      <c r="A16" s="8" t="inlineStr">
        <is>
          <t>Participants enrolled (target)</t>
        </is>
      </c>
      <c r="B16" s="62" t="n">
        <v>30</v>
      </c>
      <c r="C16" s="9" t="inlineStr">
        <is>
          <t>Enrolment output, per-participant materials, cost per participant, outcome denominators.</t>
        </is>
      </c>
    </row>
    <row r="17" ht="30" customHeight="1">
      <c r="A17" s="8" t="inlineStr">
        <is>
          <t>Volunteers to recruit</t>
        </is>
      </c>
      <c r="B17" s="62" t="n">
        <v>12</v>
      </c>
      <c r="C17" s="9" t="inlineStr">
        <is>
          <t>Volunteer output, background checks, training materials, students per recruited volunteer.</t>
        </is>
      </c>
    </row>
    <row r="18" ht="30" customHeight="1">
      <c r="A18" s="8" t="inlineStr">
        <is>
          <t>Assessments per participant per year</t>
        </is>
      </c>
      <c r="B18" s="62" t="n">
        <v>2</v>
      </c>
      <c r="C18" s="9" t="inlineStr">
        <is>
          <t>Assessment output and assessment licence quantity.</t>
        </is>
      </c>
    </row>
    <row r="19" ht="30" customHeight="1">
      <c r="A19" s="8" t="inlineStr">
        <is>
          <t>Family events in the term</t>
        </is>
      </c>
      <c r="B19" s="62" t="n">
        <v>2</v>
      </c>
      <c r="C19" s="9" t="inlineStr">
        <is>
          <t>Family night output and event supply quantity.</t>
        </is>
      </c>
    </row>
    <row r="20" ht="30" customHeight="1">
      <c r="A20" s="8" t="inlineStr">
        <is>
          <t>Funder / program officer</t>
        </is>
      </c>
      <c r="B20" s="16" t="inlineStr">
        <is>
          <t>(enter the funder and your program officer)</t>
        </is>
      </c>
      <c r="C20" s="9" t="inlineStr">
        <is>
          <t>Ask the program officer which column their form's 'Goal' box means.</t>
        </is>
      </c>
    </row>
    <row r="21" ht="30" customHeight="1">
      <c r="A21" s="8" t="inlineStr">
        <is>
          <t>Date this version of the model was edited</t>
        </is>
      </c>
      <c r="B21" s="61" t="n">
        <v>46275</v>
      </c>
      <c r="C21" s="9" t="inlineStr">
        <is>
          <t>Date the edit when an activity changes, so the final report starts from a document that matches what the program did.</t>
        </is>
      </c>
    </row>
    <row r="22" ht="30" customHeight="1">
      <c r="A22" s="8" t="inlineStr">
        <is>
          <t>Tutors present per session</t>
        </is>
      </c>
      <c r="B22" s="62" t="n">
        <v>6</v>
      </c>
      <c r="C22" s="9" t="inlineStr">
        <is>
          <t>The in-room ratio check. Fewer than the number recruited, because recruitment covers absences and two cohorts.</t>
        </is>
      </c>
    </row>
    <row r="23" ht="30" customHeight="1">
      <c r="A23" s="4" t="inlineStr">
        <is>
          <t>COMPUTED FROM YOUR ENTRIES: live formulas, do not overwrite</t>
        </is>
      </c>
      <c r="B23" s="5" t="n"/>
      <c r="C23" s="5" t="n"/>
    </row>
    <row r="24" ht="30" customHeight="1">
      <c r="A24" s="7" t="inlineStr">
        <is>
          <t>Figure</t>
        </is>
      </c>
      <c r="B24" s="7" t="inlineStr">
        <is>
          <t>Value</t>
        </is>
      </c>
      <c r="C24" s="7" t="inlineStr">
        <is>
          <t>How it is calculated</t>
        </is>
      </c>
    </row>
    <row r="25" ht="30" customHeight="1">
      <c r="A25" s="8" t="inlineStr">
        <is>
          <t>Term length in days</t>
        </is>
      </c>
      <c r="B25" s="63">
        <f>B12-B11</f>
        <v/>
      </c>
      <c r="C25" s="9" t="inlineStr">
        <is>
          <t>End date minus start date.</t>
        </is>
      </c>
    </row>
    <row r="26" ht="30" customHeight="1">
      <c r="A26" s="8" t="inlineStr">
        <is>
          <t>Term length in months</t>
        </is>
      </c>
      <c r="B26" s="64">
        <f>ROUND((B12-B11)/30.44,1)</f>
        <v/>
      </c>
      <c r="C26" s="9" t="inlineStr">
        <is>
          <t>Days divided by the average month.</t>
        </is>
      </c>
    </row>
    <row r="27" ht="30" customHeight="1">
      <c r="A27" s="8" t="inlineStr">
        <is>
          <t>Tutoring sessions in the term</t>
        </is>
      </c>
      <c r="B27" s="63">
        <f>B13*B14</f>
        <v/>
      </c>
      <c r="C27" s="9" t="inlineStr">
        <is>
          <t>Program weeks times sessions per week. This is the figure the outputs column has to agree with.</t>
        </is>
      </c>
    </row>
    <row r="28" ht="30" customHeight="1">
      <c r="A28" s="8" t="inlineStr">
        <is>
          <t>Programming hours in the term</t>
        </is>
      </c>
      <c r="B28" s="64">
        <f>ROUND(B27*B15/60,1)</f>
        <v/>
      </c>
      <c r="C28" s="9" t="inlineStr">
        <is>
          <t>Sessions times session length, in hours.</t>
        </is>
      </c>
    </row>
    <row r="29" ht="30" customHeight="1">
      <c r="A29" s="8" t="inlineStr">
        <is>
          <t>Students per recruited volunteer</t>
        </is>
      </c>
      <c r="B29" s="64">
        <f>IFERROR(ROUND(B16/B17,1),"")</f>
        <v/>
      </c>
      <c r="C29" s="9" t="inlineStr">
        <is>
          <t>Participants divided by volunteers recruited. Recruitment covers absences and two cohorts, so this is not the number of tutors in the room.</t>
        </is>
      </c>
    </row>
    <row r="30" ht="30" customHeight="1">
      <c r="A30" s="8" t="inlineStr">
        <is>
          <t>Assessments to administer</t>
        </is>
      </c>
      <c r="B30" s="63">
        <f>B16*B18</f>
        <v/>
      </c>
      <c r="C30" s="9" t="inlineStr">
        <is>
          <t>Participants times assessments each.</t>
        </is>
      </c>
    </row>
    <row r="31" ht="30" customHeight="1">
      <c r="A31" s="8" t="inlineStr">
        <is>
          <t>Grant cost per participant served</t>
        </is>
      </c>
      <c r="B31" s="18">
        <f>IFERROR(ROUND(B10/B16,2),"")</f>
        <v/>
      </c>
      <c r="C31" s="9" t="inlineStr">
        <is>
          <t>Total request divided by participants.</t>
        </is>
      </c>
    </row>
    <row r="32" ht="30" customHeight="1">
      <c r="A32" s="8" t="inlineStr">
        <is>
          <t>Grant cost per tutoring session</t>
        </is>
      </c>
      <c r="B32" s="18">
        <f>IFERROR(ROUND(B10/B27,2),"")</f>
        <v/>
      </c>
      <c r="C32" s="9" t="inlineStr">
        <is>
          <t>Total request divided by sessions delivered.</t>
        </is>
      </c>
    </row>
    <row r="33" ht="30" customHeight="1">
      <c r="A33" s="8" t="inlineStr">
        <is>
          <t>Grant cost per programming hour</t>
        </is>
      </c>
      <c r="B33" s="18">
        <f>IFERROR(ROUND(B10/B28,2),"")</f>
        <v/>
      </c>
      <c r="C33" s="9" t="inlineStr">
        <is>
          <t>Total request divided by programming hours.</t>
        </is>
      </c>
    </row>
    <row r="34" ht="30" customHeight="1">
      <c r="A34" s="8" t="inlineStr">
        <is>
          <t>In-kind and donated value</t>
        </is>
      </c>
      <c r="B34" s="18">
        <f>'5 Inputs'!I27</f>
        <v/>
      </c>
      <c r="C34" s="9" t="inlineStr">
        <is>
          <t>Sum of every input row marked In-kind.</t>
        </is>
      </c>
    </row>
    <row r="35" ht="30" customHeight="1">
      <c r="A35" s="8" t="inlineStr">
        <is>
          <t>Total project value</t>
        </is>
      </c>
      <c r="B35" s="18">
        <f>'5 Inputs'!I28</f>
        <v/>
      </c>
      <c r="C35" s="9" t="inlineStr">
        <is>
          <t>Grant request plus in-kind value.</t>
        </is>
      </c>
    </row>
    <row r="36" ht="30" customHeight="1">
      <c r="A36" s="8" t="inlineStr">
        <is>
          <t>Grant share of total project value</t>
        </is>
      </c>
      <c r="B36" s="65">
        <f>IFERROR(B10/B35,"")</f>
        <v/>
      </c>
      <c r="C36" s="9" t="inlineStr">
        <is>
          <t>What the funder is actually buying as a share of the whole program.</t>
        </is>
      </c>
    </row>
    <row r="37" ht="30" customHeight="1">
      <c r="A37" s="8" t="inlineStr">
        <is>
          <t>Students per tutor present in the room</t>
        </is>
      </c>
      <c r="B37" s="64">
        <f>IFERROR(ROUND(B16/B22,1),"")</f>
        <v/>
      </c>
      <c r="C37" s="9" t="inlineStr">
        <is>
          <t>Participants divided by tutors present per session. This is the ratio a program officer pictures.</t>
        </is>
      </c>
    </row>
    <row r="38" ht="30" customHeight="1">
      <c r="A38" s="4" t="inlineStr">
        <is>
          <t>ARITHMETIC AND FEASIBILITY CHECKS: live</t>
        </is>
      </c>
      <c r="B38" s="5" t="n"/>
      <c r="C38" s="5" t="n"/>
    </row>
    <row r="39" ht="30" customHeight="1">
      <c r="A39" s="7" t="inlineStr">
        <is>
          <t>Check</t>
        </is>
      </c>
      <c r="B39" s="7" t="inlineStr">
        <is>
          <t>Result</t>
        </is>
      </c>
      <c r="C39" s="7" t="inlineStr">
        <is>
          <t>Why it matters</t>
        </is>
      </c>
    </row>
    <row r="40" ht="30" customHeight="1">
      <c r="A40" s="8" t="inlineStr">
        <is>
          <t>Request against the funder ceiling</t>
        </is>
      </c>
      <c r="B40" s="24">
        <f>IF(B10&gt;B9,"Over the ceiling by "&amp;TEXT(B10-B9,"$#,##0")&amp;". Cut inputs or reduce scope.","Within the ceiling. Headroom: "&amp;TEXT(B9-B10,"$#,##0")&amp;".")</f>
        <v/>
      </c>
      <c r="C40" s="9" t="inlineStr">
        <is>
          <t>A request built from priced inputs can drift over the cap without anyone noticing.</t>
        </is>
      </c>
    </row>
    <row r="41" ht="30" customHeight="1">
      <c r="A41" s="8" t="inlineStr">
        <is>
          <t>Term dates</t>
        </is>
      </c>
      <c r="B41" s="24">
        <f>IF(B12&lt;=B11,"The end date is not after the start date.","The term runs "&amp;TEXT(B26,"0.0")&amp;" months, "&amp;TEXT(B25,"#,##0")&amp;" days.")</f>
        <v/>
      </c>
      <c r="C41" s="9" t="inlineStr">
        <is>
          <t>Everything downstream assumes a real term.</t>
        </is>
      </c>
    </row>
    <row r="42" ht="30" customHeight="1">
      <c r="A42" s="8" t="inlineStr">
        <is>
          <t>Schedule fits inside the term</t>
        </is>
      </c>
      <c r="B42" s="24">
        <f>IF(B13*7&gt;B25,"You have scheduled "&amp;B13&amp;" program weeks into a term of only "&amp;TEXT(B25/7,"0.0")&amp;" weeks.","The "&amp;B13&amp;"-week schedule fits inside the term with "&amp;TEXT(B25/7-B13,"0.0")&amp;" weeks to spare.")</f>
        <v/>
      </c>
      <c r="C42" s="9" t="inlineStr">
        <is>
          <t>School calendars, holidays and start-up time eat the difference.</t>
        </is>
      </c>
    </row>
    <row r="43" ht="30" customHeight="1">
      <c r="A43" s="8" t="inlineStr">
        <is>
          <t>Output count against the schedule</t>
        </is>
      </c>
      <c r="B43" s="24">
        <f>IF('3 Outputs'!D8=B27,"The session count in the outputs column matches weeks times sessions per week.","The outputs column claims "&amp;'3 Outputs'!D8&amp;" sessions; the schedule computes "&amp;B27&amp;". One of them is wrong.")</f>
        <v/>
      </c>
      <c r="C43" s="9" t="inlineStr">
        <is>
          <t>A session count carried over from a larger schedule describes a program the budget does not fund.</t>
        </is>
      </c>
    </row>
    <row r="44" ht="30" customHeight="1">
      <c r="A44" s="8" t="inlineStr">
        <is>
          <t>Students per tutor present</t>
        </is>
      </c>
      <c r="B44" s="24">
        <f>IF(B22=0,"Enter the number of tutors present in each session.",IF(B16/B22&gt;6,"More than six students per tutor in the room. Check that the model is describing small-group tutoring.","A ratio of "&amp;TEXT(B37,"0.0")&amp;" students per tutor present is consistent with small-group tutoring."))</f>
        <v/>
      </c>
      <c r="C44" s="9" t="inlineStr">
        <is>
          <t>The ratio is the first thing a program officer who knows the field will test.</t>
        </is>
      </c>
    </row>
    <row r="45" ht="30" customHeight="1">
      <c r="A45" s="8" t="inlineStr">
        <is>
          <t>Assessment load</t>
        </is>
      </c>
      <c r="B45" s="24">
        <f>IF(B30&gt;B16*3,"More than three assessments per participant. Confirm the instrument burden is realistic.","The model administers "&amp;B30&amp;" assessments, "&amp;B18&amp;" per participant.")</f>
        <v/>
      </c>
      <c r="C45" s="9" t="inlineStr">
        <is>
          <t>An evaluation design nobody can staff produces missing data at report time.</t>
        </is>
      </c>
    </row>
    <row r="48">
      <c r="A48" s="15" t="inlineStr">
        <is>
          <t>GrantCue - grantcue.com/blog/logic-model-for-grant-writing</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tabColor rgb="004A7CA6"/>
    <outlinePr summaryBelow="1" summaryRight="1"/>
    <pageSetUpPr fitToPage="1"/>
  </sheetPr>
  <dimension ref="A1:C46"/>
  <sheetViews>
    <sheetView workbookViewId="0">
      <pane ySplit="6" topLeftCell="A7" activePane="bottomLeft" state="frozen"/>
      <selection pane="bottomLeft" activeCell="A1" sqref="A1"/>
    </sheetView>
  </sheetViews>
  <sheetFormatPr baseColWidth="8" defaultRowHeight="15"/>
  <cols>
    <col width="40" customWidth="1" min="1" max="1"/>
    <col width="52" customWidth="1" min="2" max="2"/>
    <col width="58" customWidth="1" min="3" max="3"/>
  </cols>
  <sheetData>
    <row r="1">
      <c r="A1" s="1" t="inlineStr">
        <is>
          <t>Step 1: Name the Impact</t>
        </is>
      </c>
    </row>
    <row r="2">
      <c r="A2" s="2" t="inlineStr">
        <is>
          <t>Build backwards. Start with the long-term condition the project contributes to, then work leftward to the resources you actually have.</t>
        </is>
      </c>
    </row>
    <row r="3">
      <c r="A3" s="3" t="inlineStr">
        <is>
          <t>Keep it honest about scale. A two-year, one-site program contributes to a community condition; it does not eliminate it.</t>
        </is>
      </c>
    </row>
    <row r="5" ht="20" customHeight="1">
      <c r="A5" s="4" t="inlineStr">
        <is>
          <t>BUILD THE STATEMENT</t>
        </is>
      </c>
      <c r="B5" s="5" t="n"/>
      <c r="C5" s="5" t="n"/>
    </row>
    <row r="6" ht="20" customHeight="1">
      <c r="A6" s="7" t="inlineStr">
        <is>
          <t>Field</t>
        </is>
      </c>
      <c r="B6" s="7" t="inlineStr">
        <is>
          <t>Your entry</t>
        </is>
      </c>
      <c r="C6" s="7" t="inlineStr">
        <is>
          <t>Guidance</t>
        </is>
      </c>
    </row>
    <row r="7" ht="34" customHeight="1">
      <c r="A7" s="8" t="inlineStr">
        <is>
          <t>The condition your statement of need documents</t>
        </is>
      </c>
      <c r="B7" s="16" t="inlineStr">
        <is>
          <t>third graders in the partner school reading below grade level</t>
        </is>
      </c>
      <c r="C7" s="9" t="inlineStr">
        <is>
          <t>Lift the wording from the need statement. If the need statement documents a shortage of bilingual caseworkers, the impact column points at that shortage, not at general community wellbeing.</t>
        </is>
      </c>
    </row>
    <row r="8" ht="34" customHeight="1">
      <c r="A8" s="8" t="inlineStr">
        <is>
          <t>The population and geography</t>
        </is>
      </c>
      <c r="B8" s="16" t="inlineStr">
        <is>
          <t>students at Riverbend Elementary School</t>
        </is>
      </c>
      <c r="C8" s="9" t="inlineStr">
        <is>
          <t>Name the actual boundary of the claim: one school, one neighbourhood, one county.</t>
        </is>
      </c>
    </row>
    <row r="9" ht="34" customHeight="1">
      <c r="A9" s="8" t="inlineStr">
        <is>
          <t>How many people the condition affects (denominator)</t>
        </is>
      </c>
      <c r="B9" s="62" t="n">
        <v>210</v>
      </c>
      <c r="C9" s="9" t="inlineStr">
        <is>
          <t>The size of the problem in the geography you just named. Your reach is measured against this.</t>
        </is>
      </c>
    </row>
    <row r="10" ht="34" customHeight="1">
      <c r="A10" s="8" t="inlineStr">
        <is>
          <t>How many of them this program reaches</t>
        </is>
      </c>
      <c r="B10" s="63">
        <f>'Program Setup'!B16</f>
        <v/>
      </c>
      <c r="C10" s="9" t="inlineStr">
        <is>
          <t>Pulled from Program Setup. This is the number a reviewer divides by the denominator above.</t>
        </is>
      </c>
    </row>
    <row r="11" ht="34" customHeight="1">
      <c r="A11" s="8" t="inlineStr">
        <is>
          <t>Your contribution verb</t>
        </is>
      </c>
      <c r="B11" s="16" t="inlineStr">
        <is>
          <t>contributes to</t>
        </is>
      </c>
      <c r="C11" s="9" t="inlineStr">
        <is>
          <t>Use contributes to, helps reduce, or supports. Reserve eliminates, ends, closes and solves for claims the arithmetic can carry.</t>
        </is>
      </c>
    </row>
    <row r="12" ht="34" customHeight="1">
      <c r="A12" s="8" t="inlineStr">
        <is>
          <t>The direction of change</t>
        </is>
      </c>
      <c r="B12" s="16" t="inlineStr">
        <is>
          <t>more third graders reaching grade level in reading</t>
        </is>
      </c>
      <c r="C12" s="9" t="inlineStr">
        <is>
          <t>One clause. What is different in the community if this works, stated as a condition, not as an activity.</t>
        </is>
      </c>
    </row>
    <row r="15" ht="20" customHeight="1">
      <c r="A15" s="4" t="inlineStr">
        <is>
          <t>THE ASSEMBLED IMPACT STATEMENT: live</t>
        </is>
      </c>
      <c r="B15" s="5" t="n"/>
      <c r="C15" s="5" t="n"/>
    </row>
    <row r="16" ht="20" customHeight="1">
      <c r="A16" s="7" t="inlineStr">
        <is>
          <t>Output</t>
        </is>
      </c>
      <c r="B16" s="7" t="inlineStr">
        <is>
          <t>Value</t>
        </is>
      </c>
      <c r="C16" s="7" t="inlineStr">
        <is>
          <t>Notes</t>
        </is>
      </c>
    </row>
    <row r="17" ht="34" customHeight="1">
      <c r="A17" s="8" t="inlineStr">
        <is>
          <t>Reach as a share of the affected population</t>
        </is>
      </c>
      <c r="B17" s="65">
        <f>IFERROR(B10/B9,"")</f>
        <v/>
      </c>
      <c r="C17" s="9" t="inlineStr">
        <is>
          <t>Participants divided by the size of the problem.</t>
        </is>
      </c>
    </row>
    <row r="18" ht="60" customHeight="1">
      <c r="A18" s="8" t="inlineStr">
        <is>
          <t>Impact statement (this is the cell every other sheet reads)</t>
        </is>
      </c>
      <c r="B18" s="24">
        <f>IF(OR(B7="",B12=""),"Complete the entries above.","The program "&amp;B11&amp;" "&amp;B12&amp;" among "&amp;B8&amp;", where "&amp;TEXT(B9,"#,##0")&amp;" are affected by "&amp;B7&amp;" and this project reaches "&amp;TEXT(B10,"#,##0")&amp;" of them, "&amp;TEXT(IFERROR(B10/B9,0),"0.0%")&amp;" of the affected population, over the grant term.")</f>
        <v/>
      </c>
      <c r="C18" s="9" t="inlineStr">
        <is>
          <t>Pulled into the One-Page Model and into the Statement of Need row of the Narrative Map.</t>
        </is>
      </c>
    </row>
    <row r="19" ht="34" customHeight="1">
      <c r="A19" s="8" t="inlineStr">
        <is>
          <t>Length of the statement, in words</t>
        </is>
      </c>
      <c r="B19" s="63">
        <f>IF(B18="","",LEN(TRIM(B18))-LEN(SUBSTITUTE(TRIM(B18)," ",""))+1)</f>
        <v/>
      </c>
      <c r="C19" s="9" t="inlineStr">
        <is>
          <t>An impact statement over about sixty words is usually two claims wearing one coat.</t>
        </is>
      </c>
    </row>
    <row r="20" ht="34" customHeight="1">
      <c r="A20" s="8" t="inlineStr">
        <is>
          <t>Scale verdict</t>
        </is>
      </c>
      <c r="B20" s="24">
        <f>IF(B17="","",IF(B17&gt;=0.75,"You reach most of the affected population. A direct claim may be defensible; check the term length before making one.",IF(B17&gt;=0.25,"You reach a substantial minority. Contributes to is the safe verb; helps reduce is defensible if the outcome measures support it.","You reach "&amp;TEXT(B17,"0.0%")&amp;" of the population you named. Write contributes to. Claiming ownership of the condition invites the reviewer to check the arithmetic, and the arithmetic will not support it.")))</f>
        <v/>
      </c>
      <c r="C20" s="9" t="inlineStr">
        <is>
          <t>Scale the impact statement to the size and length of the grant.</t>
        </is>
      </c>
    </row>
    <row r="21" ht="34" customHeight="1">
      <c r="A21" s="8" t="inlineStr">
        <is>
          <t>Term-length verdict</t>
        </is>
      </c>
      <c r="B21" s="24">
        <f>IF('Program Setup'!B26&gt;=36,"A three-year-plus award can reasonably describe a medium-term community change.",IF('Program Setup'!B26&gt;=18,"An eighteen-month-plus award can describe an early community indicator moving, not the condition resolving.","At "&amp;TEXT('Program Setup'!B26,"0.0")&amp;" months, describe a contribution. A single-year project that claims a county-wide condition change is promising more than the money buys."))</f>
        <v/>
      </c>
      <c r="C21" s="9" t="inlineStr">
        <is>
          <t>Reads the term straight off Program Setup.</t>
        </is>
      </c>
    </row>
    <row r="23" ht="20" customHeight="1">
      <c r="A23" s="4" t="inlineStr">
        <is>
          <t>OVERREACH SCAN: words that promise more than the award buys</t>
        </is>
      </c>
      <c r="B23" s="5" t="n"/>
      <c r="C23" s="5" t="n"/>
    </row>
    <row r="24" ht="20" customHeight="1">
      <c r="A24" s="7" t="inlineStr">
        <is>
          <t>Word or phrase</t>
        </is>
      </c>
      <c r="B24" s="7" t="inlineStr">
        <is>
          <t>Found in your statement?</t>
        </is>
      </c>
      <c r="C24" s="7" t="inlineStr">
        <is>
          <t>Why it is risky</t>
        </is>
      </c>
    </row>
    <row r="25">
      <c r="A25" s="8" t="inlineStr">
        <is>
          <t>eliminate</t>
        </is>
      </c>
      <c r="B25" s="24">
        <f>IF($B$18="","",IF(ISNUMBER(SEARCH(" "&amp;A25," "&amp;$B$18&amp;" ")),"FOUND, rephrase this clause","not used"))</f>
        <v/>
      </c>
      <c r="C25" s="9" t="inlineStr">
        <is>
          <t>Promises the condition ends. Almost never survives the arithmetic.</t>
        </is>
      </c>
    </row>
    <row r="26">
      <c r="A26" s="8" t="inlineStr">
        <is>
          <t xml:space="preserve">end </t>
        </is>
      </c>
      <c r="B26" s="24">
        <f>IF($B$18="","",IF(ISNUMBER(SEARCH(" "&amp;A26," "&amp;$B$18&amp;" ")),"FOUND, rephrase this clause","not used"))</f>
        <v/>
      </c>
      <c r="C26" s="9" t="inlineStr">
        <is>
          <t>Same problem as eliminate, in a shorter word.</t>
        </is>
      </c>
    </row>
    <row r="27">
      <c r="A27" s="8" t="inlineStr">
        <is>
          <t>close the gap</t>
        </is>
      </c>
      <c r="B27" s="24">
        <f>IF($B$18="","",IF(ISNUMBER(SEARCH(" "&amp;A27," "&amp;$B$18&amp;" ")),"FOUND, rephrase this clause","not used"))</f>
        <v/>
      </c>
      <c r="C27" s="9" t="inlineStr">
        <is>
          <t>A gap is a district or county-level measure. One site contributes to it.</t>
        </is>
      </c>
    </row>
    <row r="28">
      <c r="A28" s="8" t="inlineStr">
        <is>
          <t>solve</t>
        </is>
      </c>
      <c r="B28" s="24">
        <f>IF($B$18="","",IF(ISNUMBER(SEARCH(" "&amp;A28," "&amp;$B$18&amp;" ")),"FOUND, rephrase this clause","not used"))</f>
        <v/>
      </c>
      <c r="C28" s="9" t="inlineStr">
        <is>
          <t>Frames a program as a solution rather than a contribution.</t>
        </is>
      </c>
    </row>
    <row r="29">
      <c r="A29" s="8" t="inlineStr">
        <is>
          <t>ensure</t>
        </is>
      </c>
      <c r="B29" s="24">
        <f>IF($B$18="","",IF(ISNUMBER(SEARCH(" "&amp;A29," "&amp;$B$18&amp;" ")),"FOUND, rephrase this clause","not used"))</f>
        <v/>
      </c>
      <c r="C29" s="9" t="inlineStr">
        <is>
          <t>A guarantee. Reviewers read it as one and hold you to it in the final report.</t>
        </is>
      </c>
    </row>
    <row r="30">
      <c r="A30" s="8" t="inlineStr">
        <is>
          <t xml:space="preserve">all </t>
        </is>
      </c>
      <c r="B30" s="24">
        <f>IF($B$18="","",IF(ISNUMBER(SEARCH(" "&amp;A30," "&amp;$B$18&amp;" ")),"FOUND, rephrase this clause","not used"))</f>
        <v/>
      </c>
      <c r="C30" s="9" t="inlineStr">
        <is>
          <t>Absolute coverage. If any participant is missed, the claim is false.</t>
        </is>
      </c>
    </row>
    <row r="31">
      <c r="A31" s="8" t="inlineStr">
        <is>
          <t xml:space="preserve">every </t>
        </is>
      </c>
      <c r="B31" s="24">
        <f>IF($B$18="","",IF(ISNUMBER(SEARCH(" "&amp;A31," "&amp;$B$18&amp;" ")),"FOUND, rephrase this clause","not used"))</f>
        <v/>
      </c>
      <c r="C31" s="9" t="inlineStr">
        <is>
          <t>Same absolute claim as all.</t>
        </is>
      </c>
    </row>
    <row r="32">
      <c r="A32" s="8" t="inlineStr">
        <is>
          <t>eradicate</t>
        </is>
      </c>
      <c r="B32" s="24">
        <f>IF($B$18="","",IF(ISNUMBER(SEARCH(" "&amp;A32," "&amp;$B$18&amp;" ")),"FOUND, rephrase this clause","not used"))</f>
        <v/>
      </c>
      <c r="C32" s="9" t="inlineStr">
        <is>
          <t>Reserved for conditions that can actually be driven to zero.</t>
        </is>
      </c>
    </row>
    <row r="33">
      <c r="A33" s="8" t="inlineStr">
        <is>
          <t>transform</t>
        </is>
      </c>
      <c r="B33" s="24">
        <f>IF($B$18="","",IF(ISNUMBER(SEARCH(" "&amp;A33," "&amp;$B$18&amp;" ")),"FOUND, rephrase this clause","not used"))</f>
        <v/>
      </c>
      <c r="C33" s="9" t="inlineStr">
        <is>
          <t>Promotional rather than measurable. A reviewer cannot check it.</t>
        </is>
      </c>
    </row>
    <row r="34">
      <c r="A34" s="8" t="inlineStr">
        <is>
          <t>guarantee</t>
        </is>
      </c>
      <c r="B34" s="24">
        <f>IF($B$18="","",IF(ISNUMBER(SEARCH(" "&amp;A34," "&amp;$B$18&amp;" ")),"FOUND, rephrase this clause","not used"))</f>
        <v/>
      </c>
      <c r="C34" s="9" t="inlineStr">
        <is>
          <t>Contractual language in a document that is already a promise.</t>
        </is>
      </c>
    </row>
    <row r="35">
      <c r="A35" s="8" t="inlineStr">
        <is>
          <t>Overreach words found</t>
        </is>
      </c>
      <c r="B35" s="63">
        <f>COUNTIF(B25:B34,"FOUND*")</f>
        <v/>
      </c>
      <c r="C35" s="24">
        <f>IF(B35=0,"No ownership language detected. The statement describes a contribution.","Rewrite the flagged clauses before the statement goes anywhere near the narrative.")</f>
        <v/>
      </c>
    </row>
    <row r="37" ht="20" customHeight="1">
      <c r="A37" s="4" t="inlineStr">
        <is>
          <t>WHAT THE IMPACT COLUMN IS NOT</t>
        </is>
      </c>
      <c r="B37" s="5" t="n"/>
      <c r="C37" s="5" t="n"/>
    </row>
    <row r="38" ht="20" customHeight="1">
      <c r="A38" s="7" t="inlineStr">
        <is>
          <t>Written as impact</t>
        </is>
      </c>
      <c r="B38" s="7" t="inlineStr">
        <is>
          <t>What it actually is</t>
        </is>
      </c>
      <c r="C38" s="7" t="inlineStr">
        <is>
          <t>Rewrite it as</t>
        </is>
      </c>
    </row>
    <row r="39" ht="32" customHeight="1">
      <c r="A39" s="9" t="inlineStr">
        <is>
          <t>We will run a high-quality tutoring program.</t>
        </is>
      </c>
      <c r="B39" s="9" t="inlineStr">
        <is>
          <t>An activity. It describes what you do, not what changes.</t>
        </is>
      </c>
      <c r="C39" s="9" t="inlineStr">
        <is>
          <t>More third graders in the partner school reach grade level in reading.</t>
        </is>
      </c>
    </row>
    <row r="40" ht="32" customHeight="1">
      <c r="A40" s="9" t="inlineStr">
        <is>
          <t>Improve community wellbeing.</t>
        </is>
      </c>
      <c r="B40" s="9" t="inlineStr">
        <is>
          <t>A category, not a condition. It matches no need statement and no measure.</t>
        </is>
      </c>
      <c r="C40" s="9" t="inlineStr">
        <is>
          <t>Fewer households in the service area go without a full week of groceries.</t>
        </is>
      </c>
    </row>
    <row r="41" ht="32" customHeight="1">
      <c r="A41" s="9" t="inlineStr">
        <is>
          <t>Close the district's reading achievement gap.</t>
        </is>
      </c>
      <c r="B41" s="9" t="inlineStr">
        <is>
          <t>A district-level claim from a project reaching thirty students.</t>
        </is>
      </c>
      <c r="C41" s="9" t="inlineStr">
        <is>
          <t>A contribution to the district's grade-level reading goal, at the scale of one school.</t>
        </is>
      </c>
    </row>
    <row r="42" ht="32" customHeight="1">
      <c r="A42" s="9" t="inlineStr">
        <is>
          <t>Serve 30 students each year.</t>
        </is>
      </c>
      <c r="B42" s="9" t="inlineStr">
        <is>
          <t>An output. Counting who came through the door.</t>
        </is>
      </c>
      <c r="C42" s="9" t="inlineStr">
        <is>
          <t>Students who complete the program read at grade level at a higher rate than they did before it.</t>
        </is>
      </c>
    </row>
    <row r="43" ht="32" customHeight="1">
      <c r="A43" s="9" t="inlineStr">
        <is>
          <t>Become the leading literacy provider in the region.</t>
        </is>
      </c>
      <c r="B43" s="9" t="inlineStr">
        <is>
          <t>An organisational ambition. Funders fund program results, not market position.</t>
        </is>
      </c>
      <c r="C43" s="9" t="inlineStr">
        <is>
          <t>Grade-level reading rates rise at the schools the program serves.</t>
        </is>
      </c>
    </row>
    <row r="44" ht="32" customHeight="1">
      <c r="A44" s="9" t="inlineStr">
        <is>
          <t>Raise awareness of childhood literacy.</t>
        </is>
      </c>
      <c r="B44" s="9" t="inlineStr">
        <is>
          <t>Unmeasurable as written, and awareness is rarely the condition in the need statement.</t>
        </is>
      </c>
      <c r="C44" s="9" t="inlineStr">
        <is>
          <t>Families of enrolled students read aloud at home at least three times a week.</t>
        </is>
      </c>
    </row>
    <row r="46">
      <c r="A46" s="15" t="inlineStr">
        <is>
          <t>GrantCue - grantcue.com/blog/logic-model-for-grant-writing</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tabColor rgb="004A7CA6"/>
    <outlinePr summaryBelow="1" summaryRight="1"/>
    <pageSetUpPr fitToPage="1"/>
  </sheetPr>
  <dimension ref="A1:O36"/>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5" customWidth="1" min="2" max="2"/>
    <col width="34" customWidth="1" min="3" max="3"/>
    <col width="26" customWidth="1" min="4" max="4"/>
    <col width="18" customWidth="1" min="5" max="5"/>
    <col width="9" customWidth="1" min="6" max="6"/>
    <col width="10" customWidth="1" min="7" max="7"/>
    <col width="9" customWidth="1" min="8" max="8"/>
    <col width="30" customWidth="1" min="9" max="9"/>
    <col width="24" customWidth="1" min="10" max="10"/>
    <col width="26" customWidth="1" min="11" max="11"/>
    <col width="20" customWidth="1" min="12" max="12"/>
    <col width="28" customWidth="1" min="13" max="13"/>
    <col width="62" customWidth="1" min="14" max="14"/>
    <col width="34" customWidth="1" min="15" max="15"/>
  </cols>
  <sheetData>
    <row r="1">
      <c r="A1" s="1" t="inlineStr">
        <is>
          <t>Step 2: Write the Outcomes</t>
        </is>
      </c>
    </row>
    <row r="2">
      <c r="A2" s="2" t="inlineStr">
        <is>
          <t>For each outcome answer four questions: what changes, for whom, by when, and by how much. Split short-term (knowledge, skills, attitude) from medium-term (behaviour, practice, status).</t>
        </is>
      </c>
    </row>
    <row r="3">
      <c r="A3" s="3" t="inlineStr">
        <is>
          <t>Column N assembles the sentence. Write it once here and every other sheet reuses it verbatim, so the objectives section and the evaluation plan carry identical wording.</t>
        </is>
      </c>
    </row>
    <row r="5" ht="20" customHeight="1">
      <c r="A5" s="4" t="inlineStr">
        <is>
          <t>OUTCOME REGISTER: the definition of record</t>
        </is>
      </c>
      <c r="B5" s="5" t="n"/>
      <c r="C5" s="5" t="n"/>
      <c r="D5" s="5" t="n"/>
      <c r="E5" s="5" t="n"/>
      <c r="F5" s="5" t="n"/>
      <c r="G5" s="5" t="n"/>
      <c r="H5" s="5" t="n"/>
      <c r="I5" s="5" t="n"/>
      <c r="J5" s="5" t="n"/>
      <c r="K5" s="5" t="n"/>
      <c r="L5" s="5" t="n"/>
      <c r="M5" s="5" t="n"/>
      <c r="N5" s="5" t="n"/>
      <c r="O5" s="5" t="n"/>
    </row>
    <row r="6" ht="34" customHeight="1">
      <c r="A6" s="7" t="inlineStr">
        <is>
          <t>ID</t>
        </is>
      </c>
      <c r="B6" s="7" t="inlineStr">
        <is>
          <t>Horizon</t>
        </is>
      </c>
      <c r="C6" s="7" t="inlineStr">
        <is>
          <t>What changes</t>
        </is>
      </c>
      <c r="D6" s="7" t="inlineStr">
        <is>
          <t>For whom</t>
        </is>
      </c>
      <c r="E6" s="7" t="inlineStr">
        <is>
          <t>By when</t>
        </is>
      </c>
      <c r="F6" s="7" t="inlineStr">
        <is>
          <t>How many</t>
        </is>
      </c>
      <c r="G6" s="7" t="inlineStr">
        <is>
          <t>Out of</t>
        </is>
      </c>
      <c r="H6" s="7" t="inlineStr">
        <is>
          <t>Percent</t>
        </is>
      </c>
      <c r="I6" s="7" t="inlineStr">
        <is>
          <t>Measure or instrument</t>
        </is>
      </c>
      <c r="J6" s="7" t="inlineStr">
        <is>
          <t>Data source</t>
        </is>
      </c>
      <c r="K6" s="7" t="inlineStr">
        <is>
          <t>Collection schedule</t>
        </is>
      </c>
      <c r="L6" s="7" t="inlineStr">
        <is>
          <t>Owner</t>
        </is>
      </c>
      <c r="M6" s="7" t="inlineStr">
        <is>
          <t>Baseline</t>
        </is>
      </c>
      <c r="N6" s="7" t="inlineStr">
        <is>
          <t>Assembled outcome sentence (live)</t>
        </is>
      </c>
      <c r="O6" s="7" t="inlineStr">
        <is>
          <t>Completeness check (live)</t>
        </is>
      </c>
    </row>
    <row r="7" ht="56" customHeight="1">
      <c r="A7" s="16" t="inlineStr">
        <is>
          <t>OC-1</t>
        </is>
      </c>
      <c r="B7" s="16" t="inlineStr">
        <is>
          <t>Short-term</t>
        </is>
      </c>
      <c r="C7" s="16" t="inlineStr">
        <is>
          <t>finish the program with improved decoding skills</t>
        </is>
      </c>
      <c r="D7" s="16" t="inlineStr">
        <is>
          <t>enrolled second graders</t>
        </is>
      </c>
      <c r="E7" s="16" t="inlineStr">
        <is>
          <t>the end of the program year, June 2028</t>
        </is>
      </c>
      <c r="F7" s="62" t="n">
        <v>21</v>
      </c>
      <c r="G7" s="62" t="n">
        <v>30</v>
      </c>
      <c r="H7" s="65">
        <f>IFERROR(F7/G7,"")</f>
        <v/>
      </c>
      <c r="I7" s="16" t="inlineStr">
        <is>
          <t>Curriculum-based phonics screener, administered fall and spring</t>
        </is>
      </c>
      <c r="J7" s="16" t="inlineStr">
        <is>
          <t>Program assessment records</t>
        </is>
      </c>
      <c r="K7" s="16" t="inlineStr">
        <is>
          <t>Fall baseline in week 2; spring post-test in week 23</t>
        </is>
      </c>
      <c r="L7" s="16" t="inlineStr">
        <is>
          <t>Program Coordinator</t>
        </is>
      </c>
      <c r="M7" s="16" t="inlineStr">
        <is>
          <t>0 of 30 at or above the decoding benchmark at the fall screening</t>
        </is>
      </c>
      <c r="N7" s="24">
        <f>IF(C7="","",PROPER(LEFT(D7,1))&amp;MID(D7,2,300)&amp;" will "&amp;C7&amp;IF(F7="","",", "&amp;TEXT(F7,"#,##0")&amp;" of "&amp;TEXT(G7,"#,##0")&amp;" ("&amp;TEXT(IFERROR(F7/G7,0),"0%")&amp;")")&amp;" by "&amp;E7&amp;", measured by "&amp;IF(I7="","[name the instrument]",I7)&amp;".")</f>
        <v/>
      </c>
      <c r="O7" s="24">
        <f>IF(C7="","",IF(COUNTBLANK(E7)+COUNTBLANK(F7)+COUNTBLANK(G7)+COUNTBLANK(I7)+COUNTBLANK(J7)+COUNTBLANK(K7)+COUNTBLANK(L7)=0,"Complete","Missing: "&amp;IF(E7="","a date; ","")&amp;IF(F7="","a number; ","")&amp;IF(G7="","a denominator; ","")&amp;IF(I7="","an instrument; ","")&amp;IF(J7="","a data source; ","")&amp;IF(K7="","a collection schedule; ","")&amp;IF(L7="","an owner; ","")))</f>
        <v/>
      </c>
    </row>
    <row r="8" ht="56" customHeight="1">
      <c r="A8" s="16" t="inlineStr">
        <is>
          <t>OC-2</t>
        </is>
      </c>
      <c r="B8" s="16" t="inlineStr">
        <is>
          <t>Medium-term</t>
        </is>
      </c>
      <c r="C8" s="16" t="inlineStr">
        <is>
          <t>advance at least one reading level</t>
        </is>
      </c>
      <c r="D8" s="16" t="inlineStr">
        <is>
          <t>enrolled second graders attending 60 percent or more of sessions</t>
        </is>
      </c>
      <c r="E8" s="16" t="inlineStr">
        <is>
          <t>the spring assessment, May 2028</t>
        </is>
      </c>
      <c r="F8" s="62" t="n">
        <v>18</v>
      </c>
      <c r="G8" s="62" t="n">
        <v>25</v>
      </c>
      <c r="H8" s="65">
        <f>IFERROR(F8/G8,"")</f>
        <v/>
      </c>
      <c r="I8" s="16" t="inlineStr">
        <is>
          <t>Partner school's reading level assessment</t>
        </is>
      </c>
      <c r="J8" s="16" t="inlineStr">
        <is>
          <t>Partner school data share agreement</t>
        </is>
      </c>
      <c r="K8" s="16" t="inlineStr">
        <is>
          <t>Spring assessment window, one administration</t>
        </is>
      </c>
      <c r="L8" s="16" t="inlineStr">
        <is>
          <t>Program Coordinator</t>
        </is>
      </c>
      <c r="M8" s="16" t="inlineStr">
        <is>
          <t>Reading levels recorded for every participant at the fall screening</t>
        </is>
      </c>
      <c r="N8" s="24">
        <f>IF(C8="","",PROPER(LEFT(D8,1))&amp;MID(D8,2,300)&amp;" will "&amp;C8&amp;IF(F8="","",", "&amp;TEXT(F8,"#,##0")&amp;" of "&amp;TEXT(G8,"#,##0")&amp;" ("&amp;TEXT(IFERROR(F8/G8,0),"0%")&amp;")")&amp;" by "&amp;E8&amp;", measured by "&amp;IF(I8="","[name the instrument]",I8)&amp;".")</f>
        <v/>
      </c>
      <c r="O8" s="24">
        <f>IF(C8="","",IF(COUNTBLANK(E8)+COUNTBLANK(F8)+COUNTBLANK(G8)+COUNTBLANK(I8)+COUNTBLANK(J8)+COUNTBLANK(K8)+COUNTBLANK(L8)=0,"Complete","Missing: "&amp;IF(E8="","a date; ","")&amp;IF(F8="","a number; ","")&amp;IF(G8="","a denominator; ","")&amp;IF(I8="","an instrument; ","")&amp;IF(J8="","a data source; ","")&amp;IF(K8="","a collection schedule; ","")&amp;IF(L8="","an owner; ","")))</f>
        <v/>
      </c>
    </row>
    <row r="9" ht="56" customHeight="1">
      <c r="A9" s="25" t="inlineStr">
        <is>
          <t>OC-3</t>
        </is>
      </c>
      <c r="B9" s="16" t="n"/>
      <c r="C9" s="16" t="n"/>
      <c r="D9" s="16" t="n"/>
      <c r="E9" s="16" t="n"/>
      <c r="F9" s="62" t="n"/>
      <c r="G9" s="62" t="n"/>
      <c r="H9" s="65">
        <f>IFERROR(F9/G9,"")</f>
        <v/>
      </c>
      <c r="I9" s="16" t="n"/>
      <c r="J9" s="16" t="n"/>
      <c r="K9" s="16" t="n"/>
      <c r="L9" s="16" t="n"/>
      <c r="M9" s="16" t="n"/>
      <c r="N9" s="24">
        <f>IF(C9="","",PROPER(LEFT(D9,1))&amp;MID(D9,2,300)&amp;" will "&amp;C9&amp;IF(F9="","",", "&amp;TEXT(F9,"#,##0")&amp;" of "&amp;TEXT(G9,"#,##0")&amp;" ("&amp;TEXT(IFERROR(F9/G9,0),"0%")&amp;")")&amp;" by "&amp;E9&amp;", measured by "&amp;IF(I9="","[name the instrument]",I9)&amp;".")</f>
        <v/>
      </c>
      <c r="O9" s="24">
        <f>IF(C9="","",IF(COUNTBLANK(E9)+COUNTBLANK(F9)+COUNTBLANK(G9)+COUNTBLANK(I9)+COUNTBLANK(J9)+COUNTBLANK(K9)+COUNTBLANK(L9)=0,"Complete","Missing: "&amp;IF(E9="","a date; ","")&amp;IF(F9="","a number; ","")&amp;IF(G9="","a denominator; ","")&amp;IF(I9="","an instrument; ","")&amp;IF(J9="","a data source; ","")&amp;IF(K9="","a collection schedule; ","")&amp;IF(L9="","an owner; ","")))</f>
        <v/>
      </c>
    </row>
    <row r="10" ht="56" customHeight="1">
      <c r="A10" s="25" t="inlineStr">
        <is>
          <t>OC-4</t>
        </is>
      </c>
      <c r="B10" s="16" t="n"/>
      <c r="C10" s="16" t="n"/>
      <c r="D10" s="16" t="n"/>
      <c r="E10" s="16" t="n"/>
      <c r="F10" s="62" t="n"/>
      <c r="G10" s="62" t="n"/>
      <c r="H10" s="65">
        <f>IFERROR(F10/G10,"")</f>
        <v/>
      </c>
      <c r="I10" s="16" t="n"/>
      <c r="J10" s="16" t="n"/>
      <c r="K10" s="16" t="n"/>
      <c r="L10" s="16" t="n"/>
      <c r="M10" s="16" t="n"/>
      <c r="N10" s="24">
        <f>IF(C10="","",PROPER(LEFT(D10,1))&amp;MID(D10,2,300)&amp;" will "&amp;C10&amp;IF(F10="","",", "&amp;TEXT(F10,"#,##0")&amp;" of "&amp;TEXT(G10,"#,##0")&amp;" ("&amp;TEXT(IFERROR(F10/G10,0),"0%")&amp;")")&amp;" by "&amp;E10&amp;", measured by "&amp;IF(I10="","[name the instrument]",I10)&amp;".")</f>
        <v/>
      </c>
      <c r="O10" s="24">
        <f>IF(C10="","",IF(COUNTBLANK(E10)+COUNTBLANK(F10)+COUNTBLANK(G10)+COUNTBLANK(I10)+COUNTBLANK(J10)+COUNTBLANK(K10)+COUNTBLANK(L10)=0,"Complete","Missing: "&amp;IF(E10="","a date; ","")&amp;IF(F10="","a number; ","")&amp;IF(G10="","a denominator; ","")&amp;IF(I10="","an instrument; ","")&amp;IF(J10="","a data source; ","")&amp;IF(K10="","a collection schedule; ","")&amp;IF(L10="","an owner; ","")))</f>
        <v/>
      </c>
    </row>
    <row r="11" ht="56" customHeight="1">
      <c r="A11" s="25" t="inlineStr">
        <is>
          <t>OC-5</t>
        </is>
      </c>
      <c r="B11" s="16" t="n"/>
      <c r="C11" s="16" t="n"/>
      <c r="D11" s="16" t="n"/>
      <c r="E11" s="16" t="n"/>
      <c r="F11" s="62" t="n"/>
      <c r="G11" s="62" t="n"/>
      <c r="H11" s="65">
        <f>IFERROR(F11/G11,"")</f>
        <v/>
      </c>
      <c r="I11" s="16" t="n"/>
      <c r="J11" s="16" t="n"/>
      <c r="K11" s="16" t="n"/>
      <c r="L11" s="16" t="n"/>
      <c r="M11" s="16" t="n"/>
      <c r="N11" s="24">
        <f>IF(C11="","",PROPER(LEFT(D11,1))&amp;MID(D11,2,300)&amp;" will "&amp;C11&amp;IF(F11="","",", "&amp;TEXT(F11,"#,##0")&amp;" of "&amp;TEXT(G11,"#,##0")&amp;" ("&amp;TEXT(IFERROR(F11/G11,0),"0%")&amp;")")&amp;" by "&amp;E11&amp;", measured by "&amp;IF(I11="","[name the instrument]",I11)&amp;".")</f>
        <v/>
      </c>
      <c r="O11" s="24">
        <f>IF(C11="","",IF(COUNTBLANK(E11)+COUNTBLANK(F11)+COUNTBLANK(G11)+COUNTBLANK(I11)+COUNTBLANK(J11)+COUNTBLANK(K11)+COUNTBLANK(L11)=0,"Complete","Missing: "&amp;IF(E11="","a date; ","")&amp;IF(F11="","a number; ","")&amp;IF(G11="","a denominator; ","")&amp;IF(I11="","an instrument; ","")&amp;IF(J11="","a data source; ","")&amp;IF(K11="","a collection schedule; ","")&amp;IF(L11="","an owner; ","")))</f>
        <v/>
      </c>
    </row>
    <row r="12" ht="56" customHeight="1">
      <c r="A12" s="25" t="inlineStr">
        <is>
          <t>OC-6</t>
        </is>
      </c>
      <c r="B12" s="16" t="n"/>
      <c r="C12" s="16" t="n"/>
      <c r="D12" s="16" t="n"/>
      <c r="E12" s="16" t="n"/>
      <c r="F12" s="62" t="n"/>
      <c r="G12" s="62" t="n"/>
      <c r="H12" s="65">
        <f>IFERROR(F12/G12,"")</f>
        <v/>
      </c>
      <c r="I12" s="16" t="n"/>
      <c r="J12" s="16" t="n"/>
      <c r="K12" s="16" t="n"/>
      <c r="L12" s="16" t="n"/>
      <c r="M12" s="16" t="n"/>
      <c r="N12" s="24">
        <f>IF(C12="","",PROPER(LEFT(D12,1))&amp;MID(D12,2,300)&amp;" will "&amp;C12&amp;IF(F12="","",", "&amp;TEXT(F12,"#,##0")&amp;" of "&amp;TEXT(G12,"#,##0")&amp;" ("&amp;TEXT(IFERROR(F12/G12,0),"0%")&amp;")")&amp;" by "&amp;E12&amp;", measured by "&amp;IF(I12="","[name the instrument]",I12)&amp;".")</f>
        <v/>
      </c>
      <c r="O12" s="24">
        <f>IF(C12="","",IF(COUNTBLANK(E12)+COUNTBLANK(F12)+COUNTBLANK(G12)+COUNTBLANK(I12)+COUNTBLANK(J12)+COUNTBLANK(K12)+COUNTBLANK(L12)=0,"Complete","Missing: "&amp;IF(E12="","a date; ","")&amp;IF(F12="","a number; ","")&amp;IF(G12="","a denominator; ","")&amp;IF(I12="","an instrument; ","")&amp;IF(J12="","a data source; ","")&amp;IF(K12="","a collection schedule; ","")&amp;IF(L12="","an owner; ","")))</f>
        <v/>
      </c>
    </row>
    <row r="14" ht="20" customHeight="1">
      <c r="A14" s="4" t="inlineStr">
        <is>
          <t>REGISTER SUMMARY: live</t>
        </is>
      </c>
      <c r="B14" s="5" t="n"/>
      <c r="C14" s="5" t="n"/>
      <c r="D14" s="5" t="n"/>
      <c r="E14" s="5" t="n"/>
      <c r="F14" s="5" t="n"/>
      <c r="G14" s="5" t="n"/>
      <c r="H14" s="5" t="n"/>
      <c r="I14" s="5" t="n"/>
      <c r="J14" s="5" t="n"/>
      <c r="K14" s="5" t="n"/>
      <c r="L14" s="5" t="n"/>
      <c r="M14" s="5" t="n"/>
      <c r="N14" s="5" t="n"/>
      <c r="O14" s="5" t="n"/>
    </row>
    <row r="15" ht="20" customHeight="1">
      <c r="A15" s="7" t="inlineStr">
        <is>
          <t>Figure</t>
        </is>
      </c>
      <c r="B15" s="7" t="inlineStr">
        <is>
          <t>Value</t>
        </is>
      </c>
      <c r="C15" s="7" t="inlineStr">
        <is>
          <t>What it means</t>
        </is>
      </c>
      <c r="D15" s="7" t="inlineStr"/>
      <c r="E15" s="7" t="inlineStr"/>
      <c r="F15" s="7" t="inlineStr"/>
      <c r="G15" s="7" t="inlineStr"/>
      <c r="H15" s="7" t="inlineStr"/>
      <c r="I15" s="7" t="inlineStr"/>
      <c r="J15" s="7" t="inlineStr"/>
      <c r="K15" s="7" t="inlineStr"/>
      <c r="L15" s="7" t="inlineStr"/>
      <c r="M15" s="7" t="inlineStr"/>
      <c r="N15" s="7" t="inlineStr"/>
      <c r="O15" s="7" t="inlineStr"/>
    </row>
    <row r="16" ht="34" customHeight="1">
      <c r="A16" s="8" t="inlineStr">
        <is>
          <t>Short-term outcomes</t>
        </is>
      </c>
      <c r="B16" s="63">
        <f>COUNTIFS($B$7:$B$12,"Short-term")</f>
        <v/>
      </c>
      <c r="C16" s="26" t="inlineStr">
        <is>
          <t>Knowledge, skills, attitude. These are what a one-year award can usually evidence.</t>
        </is>
      </c>
      <c r="D16" s="27" t="n"/>
      <c r="E16" s="27" t="n"/>
      <c r="F16" s="27" t="n"/>
      <c r="G16" s="27" t="n"/>
      <c r="H16" s="28" t="n"/>
    </row>
    <row r="17" ht="34" customHeight="1">
      <c r="A17" s="8" t="inlineStr">
        <is>
          <t>Medium-term outcomes</t>
        </is>
      </c>
      <c r="B17" s="63">
        <f>COUNTIFS($B$7:$B$12,"Medium-term")</f>
        <v/>
      </c>
      <c r="C17" s="26" t="inlineStr">
        <is>
          <t>Behaviour, practice, status. These need a longer measurement window.</t>
        </is>
      </c>
      <c r="D17" s="27" t="n"/>
      <c r="E17" s="27" t="n"/>
      <c r="F17" s="27" t="n"/>
      <c r="G17" s="27" t="n"/>
      <c r="H17" s="28" t="n"/>
    </row>
    <row r="18" ht="34" customHeight="1">
      <c r="A18" s="8" t="inlineStr">
        <is>
          <t>Outcomes defined in total</t>
        </is>
      </c>
      <c r="B18" s="63">
        <f>COUNTA($C$7:$C$12)</f>
        <v/>
      </c>
      <c r="C18" s="26" t="inlineStr">
        <is>
          <t>Fewer chains traced all the way through beats a page of half-finished ones.</t>
        </is>
      </c>
      <c r="D18" s="27" t="n"/>
      <c r="E18" s="27" t="n"/>
      <c r="F18" s="27" t="n"/>
      <c r="G18" s="27" t="n"/>
      <c r="H18" s="28" t="n"/>
    </row>
    <row r="19" ht="34" customHeight="1">
      <c r="A19" s="8" t="inlineStr">
        <is>
          <t>Outcomes with no instrument named</t>
        </is>
      </c>
      <c r="B19" s="63">
        <f>COUNTIFS($C$7:$C$12,"&lt;&gt;",$I$7:$I$12,"")</f>
        <v/>
      </c>
      <c r="C19" s="26" t="inlineStr">
        <is>
          <t>The commonest fatal gap. If nobody can say where the number comes from at report time, the outcome is not real yet.</t>
        </is>
      </c>
      <c r="D19" s="27" t="n"/>
      <c r="E19" s="27" t="n"/>
      <c r="F19" s="27" t="n"/>
      <c r="G19" s="27" t="n"/>
      <c r="H19" s="28" t="n"/>
    </row>
    <row r="20" ht="34" customHeight="1">
      <c r="A20" s="8" t="inlineStr">
        <is>
          <t>Outcomes with no owner</t>
        </is>
      </c>
      <c r="B20" s="63">
        <f>COUNTIFS($C$7:$C$12,"&lt;&gt;",$L$7:$L$12,"")</f>
        <v/>
      </c>
      <c r="C20" s="26" t="inlineStr">
        <is>
          <t>An unowned measure is an unmeasured measure.</t>
        </is>
      </c>
      <c r="D20" s="27" t="n"/>
      <c r="E20" s="27" t="n"/>
      <c r="F20" s="27" t="n"/>
      <c r="G20" s="27" t="n"/>
      <c r="H20" s="28" t="n"/>
    </row>
    <row r="21" ht="34" customHeight="1">
      <c r="A21" s="8" t="inlineStr">
        <is>
          <t>Outcomes with no number attached</t>
        </is>
      </c>
      <c r="B21" s="63">
        <f>COUNTIFS($C$7:$C$12,"&lt;&gt;",$F$7:$F$12,"")</f>
        <v/>
      </c>
      <c r="C21" s="26" t="inlineStr">
        <is>
          <t>By how much is one of the four questions. A target without a number is an intention.</t>
        </is>
      </c>
      <c r="D21" s="27" t="n"/>
      <c r="E21" s="27" t="n"/>
      <c r="F21" s="27" t="n"/>
      <c r="G21" s="27" t="n"/>
      <c r="H21" s="28" t="n"/>
    </row>
    <row r="22" ht="34" customHeight="1">
      <c r="A22" s="8" t="inlineStr">
        <is>
          <t>Outcomes with no collection schedule</t>
        </is>
      </c>
      <c r="B22" s="63">
        <f>COUNTIFS($C$7:$C$12,"&lt;&gt;",$K$7:$K$12,"")</f>
        <v/>
      </c>
      <c r="C22" s="26" t="inlineStr">
        <is>
          <t>Set the collection dates at award time, months before the first report is due.</t>
        </is>
      </c>
      <c r="D22" s="27" t="n"/>
      <c r="E22" s="27" t="n"/>
      <c r="F22" s="27" t="n"/>
      <c r="G22" s="27" t="n"/>
      <c r="H22" s="28" t="n"/>
    </row>
    <row r="23" ht="34" customHeight="1">
      <c r="A23" s="8" t="inlineStr">
        <is>
          <t>Repeated outcome wording</t>
        </is>
      </c>
      <c r="B23" s="24">
        <f>IF(SUMPRODUCT(($C$7:$C$12&lt;&gt;"")*(COUNTIF($C$7:$C$12,$C$7:$C$12&amp;"")&gt;1))&gt;0,"Two outcomes use the same wording","None")</f>
        <v/>
      </c>
      <c r="C23" s="26" t="inlineStr">
        <is>
          <t>A medium-term outcome that restates the short-term one in different words is visible to anyone reading down the page. If the program has two real outcomes, leave the third row empty and say why in a line of text.</t>
        </is>
      </c>
      <c r="D23" s="27" t="n"/>
      <c r="E23" s="27" t="n"/>
      <c r="F23" s="27" t="n"/>
      <c r="G23" s="27" t="n"/>
      <c r="H23" s="28" t="n"/>
    </row>
    <row r="24" ht="34" customHeight="1">
      <c r="A24" s="8" t="inlineStr">
        <is>
          <t>Average target as a percentage</t>
        </is>
      </c>
      <c r="B24" s="65">
        <f>IFERROR(AVERAGE($H$7:$H$12),"")</f>
        <v/>
      </c>
      <c r="C24" s="26" t="inlineStr">
        <is>
          <t>Targets clustered above 90 percent usually mean the denominator is wrong.</t>
        </is>
      </c>
      <c r="D24" s="27" t="n"/>
      <c r="E24" s="27" t="n"/>
      <c r="F24" s="27" t="n"/>
      <c r="G24" s="27" t="n"/>
      <c r="H24" s="28" t="n"/>
    </row>
    <row r="25" ht="34" customHeight="1">
      <c r="A25" s="8" t="inlineStr">
        <is>
          <t>Register verdict</t>
        </is>
      </c>
      <c r="B25" s="24">
        <f>IF(COUNTA($C$7:$C$12)=0,"No outcomes written yet.",IF(B19+B20+B21+B22=0,"Every outcome carries a number, a date, an instrument, a source, a schedule and an owner. This column is ready to feed the objectives and the evaluation plan.","Fix "&amp;B19+B20+B21+B22&amp;" gap(s) above before drafting. Each one is a question a reviewer will ask and you cannot answer."))</f>
        <v/>
      </c>
      <c r="C25" s="26" t="inlineStr">
        <is>
          <t>The gate before you move to outputs.</t>
        </is>
      </c>
      <c r="D25" s="27" t="n"/>
      <c r="E25" s="27" t="n"/>
      <c r="F25" s="27" t="n"/>
      <c r="G25" s="27" t="n"/>
      <c r="H25" s="28" t="n"/>
    </row>
    <row r="27" ht="20" customHeight="1">
      <c r="A27" s="4" t="inlineStr">
        <is>
          <t>THE FOUR QUESTIONS, AND WHAT A GOOD ANSWER LOOKS LIKE</t>
        </is>
      </c>
      <c r="B27" s="5" t="n"/>
      <c r="C27" s="5" t="n"/>
      <c r="D27" s="5" t="n"/>
      <c r="E27" s="5" t="n"/>
      <c r="F27" s="5" t="n"/>
      <c r="G27" s="5" t="n"/>
      <c r="H27" s="5" t="n"/>
      <c r="I27" s="5" t="n"/>
      <c r="J27" s="5" t="n"/>
      <c r="K27" s="5" t="n"/>
      <c r="L27" s="5" t="n"/>
      <c r="M27" s="5" t="n"/>
      <c r="N27" s="5" t="n"/>
      <c r="O27" s="5" t="n"/>
    </row>
    <row r="28" ht="20" customHeight="1">
      <c r="A28" s="7" t="inlineStr">
        <is>
          <t>Question</t>
        </is>
      </c>
      <c r="B28" s="7" t="inlineStr">
        <is>
          <t>A weak answer</t>
        </is>
      </c>
      <c r="C28" s="7" t="inlineStr">
        <is>
          <t>A usable answer</t>
        </is>
      </c>
      <c r="D28" s="7" t="inlineStr">
        <is>
          <t>Why the difference matters</t>
        </is>
      </c>
      <c r="E28" s="7" t="inlineStr"/>
      <c r="F28" s="7" t="inlineStr"/>
      <c r="G28" s="7" t="inlineStr"/>
      <c r="H28" s="7" t="inlineStr"/>
      <c r="I28" s="7" t="inlineStr"/>
      <c r="J28" s="7" t="inlineStr"/>
      <c r="K28" s="7" t="inlineStr"/>
      <c r="L28" s="7" t="inlineStr"/>
      <c r="M28" s="7" t="inlineStr"/>
      <c r="N28" s="7" t="inlineStr"/>
      <c r="O28" s="7" t="inlineStr"/>
    </row>
    <row r="29" ht="32" customHeight="1">
      <c r="A29" s="8" t="inlineStr">
        <is>
          <t>What changes?</t>
        </is>
      </c>
      <c r="B29" s="9" t="inlineStr">
        <is>
          <t>Students improve.</t>
        </is>
      </c>
      <c r="C29" s="9" t="inlineStr">
        <is>
          <t>Students finish the program with improved decoding skills.</t>
        </is>
      </c>
      <c r="D29" s="9" t="inlineStr">
        <is>
          <t>Decoding is on an instrument the program already administers. Improvement in general is not.</t>
        </is>
      </c>
      <c r="E29" s="27" t="n"/>
      <c r="F29" s="27" t="n"/>
      <c r="G29" s="27" t="n"/>
      <c r="H29" s="27" t="n"/>
      <c r="I29" s="28" t="n"/>
    </row>
    <row r="30" ht="32" customHeight="1">
      <c r="A30" s="8" t="inlineStr">
        <is>
          <t>For whom?</t>
        </is>
      </c>
      <c r="B30" s="9" t="inlineStr">
        <is>
          <t>The community.</t>
        </is>
      </c>
      <c r="C30" s="9" t="inlineStr">
        <is>
          <t>Enrolled second graders attending 60 percent or more of sessions.</t>
        </is>
      </c>
      <c r="D30" s="9" t="inlineStr">
        <is>
          <t>The dose condition is what makes the number defensible when attendance is uneven.</t>
        </is>
      </c>
      <c r="E30" s="27" t="n"/>
      <c r="F30" s="27" t="n"/>
      <c r="G30" s="27" t="n"/>
      <c r="H30" s="27" t="n"/>
      <c r="I30" s="28" t="n"/>
    </row>
    <row r="31" ht="32" customHeight="1">
      <c r="A31" s="8" t="inlineStr">
        <is>
          <t>By when?</t>
        </is>
      </c>
      <c r="B31" s="9" t="inlineStr">
        <is>
          <t>During the grant.</t>
        </is>
      </c>
      <c r="C31" s="9" t="inlineStr">
        <is>
          <t>By the spring assessment, May 2028.</t>
        </is>
      </c>
      <c r="D31" s="9" t="inlineStr">
        <is>
          <t>A date fixes the reporting period and stops the target sliding to the last possible week.</t>
        </is>
      </c>
      <c r="E31" s="27" t="n"/>
      <c r="F31" s="27" t="n"/>
      <c r="G31" s="27" t="n"/>
      <c r="H31" s="27" t="n"/>
      <c r="I31" s="28" t="n"/>
    </row>
    <row r="32" ht="32" customHeight="1">
      <c r="A32" s="8" t="inlineStr">
        <is>
          <t>By how much?</t>
        </is>
      </c>
      <c r="B32" s="9" t="inlineStr">
        <is>
          <t>Significantly.</t>
        </is>
      </c>
      <c r="C32" s="9" t="inlineStr">
        <is>
          <t>21 of 30 participants, 70 percent.</t>
        </is>
      </c>
      <c r="D32" s="9" t="inlineStr">
        <is>
          <t>A number and a denominator. Both, or the target cannot be verified.</t>
        </is>
      </c>
      <c r="E32" s="27" t="n"/>
      <c r="F32" s="27" t="n"/>
      <c r="G32" s="27" t="n"/>
      <c r="H32" s="27" t="n"/>
      <c r="I32" s="28" t="n"/>
    </row>
    <row r="34" ht="46" customHeight="1">
      <c r="A34" s="14" t="inlineStr">
        <is>
          <t>An outcome that had no instrument is the first thing building backwards catches. The first pass at this composite example promised that students would gain confidence in reading. Nobody could say where that number would come from at report time, and confidence appears on none of the assessments the program already gives. It became a decoding-skills result measured by the fall and spring screener, which the activities column was paying for anyway.</t>
        </is>
      </c>
    </row>
    <row r="36">
      <c r="A36" s="15" t="inlineStr">
        <is>
          <t>GrantCue - grantcue.com/blog/logic-model-for-grant-writing</t>
        </is>
      </c>
    </row>
  </sheetData>
  <mergeCells count="15">
    <mergeCell ref="C25:H25"/>
    <mergeCell ref="C24:H24"/>
    <mergeCell ref="C16:H16"/>
    <mergeCell ref="C19:H19"/>
    <mergeCell ref="D29:I29"/>
    <mergeCell ref="D32:I32"/>
    <mergeCell ref="C22:H22"/>
    <mergeCell ref="D31:I31"/>
    <mergeCell ref="C23:H23"/>
    <mergeCell ref="C18:H18"/>
    <mergeCell ref="C17:H17"/>
    <mergeCell ref="A34:I34"/>
    <mergeCell ref="D30:I30"/>
    <mergeCell ref="C21:H21"/>
    <mergeCell ref="C20:H20"/>
  </mergeCells>
  <dataValidations count="1">
    <dataValidation sqref="B7:B12" showDropDown="0" showInputMessage="0" showErrorMessage="0" allowBlank="1" type="list">
      <formula1>"Short-term,Medium-term"</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4A7CA6"/>
    <outlinePr summaryBelow="1" summaryRight="1"/>
    <pageSetUpPr fitToPage="1"/>
  </sheetPr>
  <dimension ref="A1:L31"/>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4" customWidth="1" min="2" max="2"/>
    <col width="14" customWidth="1" min="3" max="3"/>
    <col width="12" customWidth="1" min="4" max="4"/>
    <col width="34" customWidth="1" min="5" max="5"/>
    <col width="14" customWidth="1" min="6" max="6"/>
    <col width="40" customWidth="1" min="7" max="7"/>
    <col width="12" customWidth="1" min="8" max="8"/>
    <col width="28" customWidth="1" min="9" max="9"/>
    <col width="20" customWidth="1" min="10" max="10"/>
    <col width="22" customWidth="1" min="11" max="11"/>
    <col width="44" customWidth="1" min="12" max="12"/>
  </cols>
  <sheetData>
    <row r="1">
      <c r="A1" s="1" t="inlineStr">
        <is>
          <t>Step 3: Set the Outputs</t>
        </is>
      </c>
    </row>
    <row r="2">
      <c r="A2" s="2" t="inlineStr">
        <is>
          <t>For every outcome, name the countable evidence that the work happened. Outputs are attendance, completion, delivery and distribution figures. They prove effort, not effect.</t>
        </is>
      </c>
    </row>
    <row r="3">
      <c r="A3" s="3" t="inlineStr">
        <is>
          <t>Column F recomputes each count independently from the schedule on Program Setup. Column G compares the two. Outputs have to survive arithmetic.</t>
        </is>
      </c>
    </row>
    <row r="5" ht="20" customHeight="1">
      <c r="A5" s="4" t="inlineStr">
        <is>
          <t>OUTPUT REGISTER</t>
        </is>
      </c>
      <c r="B5" s="5" t="n"/>
      <c r="C5" s="5" t="n"/>
      <c r="D5" s="5" t="n"/>
      <c r="E5" s="5" t="n"/>
      <c r="F5" s="5" t="n"/>
      <c r="G5" s="5" t="n"/>
      <c r="H5" s="5" t="n"/>
      <c r="I5" s="5" t="n"/>
      <c r="J5" s="5" t="n"/>
      <c r="K5" s="5" t="n"/>
      <c r="L5" s="5" t="n"/>
    </row>
    <row r="6" ht="34" customHeight="1">
      <c r="A6" s="7" t="inlineStr">
        <is>
          <t>ID</t>
        </is>
      </c>
      <c r="B6" s="7" t="inlineStr">
        <is>
          <t>Output: what is counted</t>
        </is>
      </c>
      <c r="C6" s="7" t="inlineStr">
        <is>
          <t>Unit</t>
        </is>
      </c>
      <c r="D6" s="7" t="inlineStr">
        <is>
          <t>Target</t>
        </is>
      </c>
      <c r="E6" s="7" t="inlineStr">
        <is>
          <t>How the target is derived</t>
        </is>
      </c>
      <c r="F6" s="7" t="inlineStr">
        <is>
          <t>Computed live</t>
        </is>
      </c>
      <c r="G6" s="7" t="inlineStr">
        <is>
          <t>Does the claim match the arithmetic?</t>
        </is>
      </c>
      <c r="H6" s="7" t="inlineStr">
        <is>
          <t>Outcome</t>
        </is>
      </c>
      <c r="I6" s="7" t="inlineStr">
        <is>
          <t>Where the number comes from</t>
        </is>
      </c>
      <c r="J6" s="7" t="inlineStr">
        <is>
          <t>Reported</t>
        </is>
      </c>
      <c r="K6" s="7" t="inlineStr">
        <is>
          <t>Owner</t>
        </is>
      </c>
      <c r="L6" s="7" t="inlineStr">
        <is>
          <t>Chain check (live)</t>
        </is>
      </c>
    </row>
    <row r="7" ht="44" customHeight="1">
      <c r="A7" s="25" t="inlineStr">
        <is>
          <t>OP-1</t>
        </is>
      </c>
      <c r="B7" s="16" t="inlineStr">
        <is>
          <t>Students enrolled</t>
        </is>
      </c>
      <c r="C7" s="16" t="inlineStr">
        <is>
          <t>students</t>
        </is>
      </c>
      <c r="D7" s="62" t="n">
        <v>30</v>
      </c>
      <c r="E7" s="16" t="inlineStr">
        <is>
          <t>The enrolment target on Program Setup</t>
        </is>
      </c>
      <c r="F7" s="63">
        <f>'Program Setup'!B16</f>
        <v/>
      </c>
      <c r="G7" s="24">
        <f>IF(B7="","",IF(F7="","No independent figure: add the derivation in column E and link the quantity to Program Setup.",IF(D7=F7,"Matches. "&amp;TEXT(D7,"#,##0")&amp;" "&amp;C7&amp;" is what the schedule produces.","Check: the model claims "&amp;TEXT(D7,"#,##0")&amp;" but the schedule computes "&amp;TEXT(F7,"#,##0")&amp;". A count carried over from a bigger schedule describes a program the budget does not fund.")))</f>
        <v/>
      </c>
      <c r="H7" s="16" t="inlineStr">
        <is>
          <t>OC-1</t>
        </is>
      </c>
      <c r="I7" s="16" t="inlineStr">
        <is>
          <t>Enrolment roster and partner school referral list</t>
        </is>
      </c>
      <c r="J7" s="16" t="inlineStr">
        <is>
          <t>Quarterly</t>
        </is>
      </c>
      <c r="K7" s="16" t="inlineStr">
        <is>
          <t>Program Coordinator</t>
        </is>
      </c>
      <c r="L7" s="24">
        <f>IF(B7="","",IF(H7="","Orphan output: no outcome attached. Either attach one or drop the row.",IF(COUNTIF('2 Outcomes'!$A$7:$A$12,H7)=0,"Outcome ID "&amp;H7&amp;" does not exist on the Outcomes sheet.","Evidence for "&amp;H7&amp;": "&amp;IFERROR(VLOOKUP(H7,'2 Outcomes'!$A$7:$C$12,3,FALSE),""))))</f>
        <v/>
      </c>
    </row>
    <row r="8" ht="44" customHeight="1">
      <c r="A8" s="25" t="inlineStr">
        <is>
          <t>OP-2</t>
        </is>
      </c>
      <c r="B8" s="16" t="inlineStr">
        <is>
          <t>Tutoring sessions delivered</t>
        </is>
      </c>
      <c r="C8" s="16" t="inlineStr">
        <is>
          <t>sessions</t>
        </is>
      </c>
      <c r="D8" s="62" t="n">
        <v>48</v>
      </c>
      <c r="E8" s="16" t="inlineStr">
        <is>
          <t>Program weeks times sessions per week</t>
        </is>
      </c>
      <c r="F8" s="63">
        <f>'Program Setup'!B27</f>
        <v/>
      </c>
      <c r="G8" s="24">
        <f>IF(B8="","",IF(F8="","No independent figure: add the derivation in column E and link the quantity to Program Setup.",IF(D8=F8,"Matches. "&amp;TEXT(D8,"#,##0")&amp;" "&amp;C8&amp;" is what the schedule produces.","Check: the model claims "&amp;TEXT(D8,"#,##0")&amp;" but the schedule computes "&amp;TEXT(F8,"#,##0")&amp;". A count carried over from a bigger schedule describes a program the budget does not fund.")))</f>
        <v/>
      </c>
      <c r="H8" s="16" t="inlineStr">
        <is>
          <t>OC-1</t>
        </is>
      </c>
      <c r="I8" s="16" t="inlineStr">
        <is>
          <t>Session sign-in sheets</t>
        </is>
      </c>
      <c r="J8" s="16" t="inlineStr">
        <is>
          <t>Quarterly</t>
        </is>
      </c>
      <c r="K8" s="16" t="inlineStr">
        <is>
          <t>Program Coordinator</t>
        </is>
      </c>
      <c r="L8" s="24">
        <f>IF(B8="","",IF(H8="","Orphan output: no outcome attached. Either attach one or drop the row.",IF(COUNTIF('2 Outcomes'!$A$7:$A$12,H8)=0,"Outcome ID "&amp;H8&amp;" does not exist on the Outcomes sheet.","Evidence for "&amp;H8&amp;": "&amp;IFERROR(VLOOKUP(H8,'2 Outcomes'!$A$7:$C$12,3,FALSE),""))))</f>
        <v/>
      </c>
    </row>
    <row r="9" ht="44" customHeight="1">
      <c r="A9" s="25" t="inlineStr">
        <is>
          <t>OP-3</t>
        </is>
      </c>
      <c r="B9" s="16" t="inlineStr">
        <is>
          <t>Volunteer tutors trained</t>
        </is>
      </c>
      <c r="C9" s="16" t="inlineStr">
        <is>
          <t>volunteers</t>
        </is>
      </c>
      <c r="D9" s="62" t="n">
        <v>12</v>
      </c>
      <c r="E9" s="16" t="inlineStr">
        <is>
          <t>The volunteer recruitment target on Program Setup</t>
        </is>
      </c>
      <c r="F9" s="63">
        <f>'Program Setup'!B17</f>
        <v/>
      </c>
      <c r="G9" s="24">
        <f>IF(B9="","",IF(F9="","No independent figure: add the derivation in column E and link the quantity to Program Setup.",IF(D9=F9,"Matches. "&amp;TEXT(D9,"#,##0")&amp;" "&amp;C9&amp;" is what the schedule produces.","Check: the model claims "&amp;TEXT(D9,"#,##0")&amp;" but the schedule computes "&amp;TEXT(F9,"#,##0")&amp;". A count carried over from a bigger schedule describes a program the budget does not fund.")))</f>
        <v/>
      </c>
      <c r="H9" s="16" t="inlineStr">
        <is>
          <t>OC-1</t>
        </is>
      </c>
      <c r="I9" s="16" t="inlineStr">
        <is>
          <t>Training attendance log and completed background checks</t>
        </is>
      </c>
      <c r="J9" s="16" t="inlineStr">
        <is>
          <t>Q1 and Q3</t>
        </is>
      </c>
      <c r="K9" s="16" t="inlineStr">
        <is>
          <t>Volunteer Coordinator</t>
        </is>
      </c>
      <c r="L9" s="24">
        <f>IF(B9="","",IF(H9="","Orphan output: no outcome attached. Either attach one or drop the row.",IF(COUNTIF('2 Outcomes'!$A$7:$A$12,H9)=0,"Outcome ID "&amp;H9&amp;" does not exist on the Outcomes sheet.","Evidence for "&amp;H9&amp;": "&amp;IFERROR(VLOOKUP(H9,'2 Outcomes'!$A$7:$C$12,3,FALSE),""))))</f>
        <v/>
      </c>
    </row>
    <row r="10" ht="44" customHeight="1">
      <c r="A10" s="25" t="inlineStr">
        <is>
          <t>OP-4</t>
        </is>
      </c>
      <c r="B10" s="16" t="inlineStr">
        <is>
          <t>Reading assessments completed</t>
        </is>
      </c>
      <c r="C10" s="16" t="inlineStr">
        <is>
          <t>assessments</t>
        </is>
      </c>
      <c r="D10" s="62" t="n">
        <v>60</v>
      </c>
      <c r="E10" s="16" t="inlineStr">
        <is>
          <t>Participants times assessments per participant</t>
        </is>
      </c>
      <c r="F10" s="63">
        <f>'Program Setup'!B30</f>
        <v/>
      </c>
      <c r="G10" s="24">
        <f>IF(B10="","",IF(F10="","No independent figure, add the derivation in column E and link the quantity to Program Setup.",IF(D10=F10,"Matches. "&amp;TEXT(D10,"#,##0")&amp;" "&amp;C10&amp;" is what the schedule produces.","Check: the model claims "&amp;TEXT(D10,"#,##0")&amp;" but the schedule computes "&amp;TEXT(F10,"#,##0")&amp;". A count carried over from a bigger schedule describes a program the budget does not fund.")))</f>
        <v/>
      </c>
      <c r="H10" s="16" t="inlineStr">
        <is>
          <t>OC-1</t>
        </is>
      </c>
      <c r="I10" s="16" t="inlineStr">
        <is>
          <t>Assessment records held by the program</t>
        </is>
      </c>
      <c r="J10" s="16" t="inlineStr">
        <is>
          <t>Fall and spring</t>
        </is>
      </c>
      <c r="K10" s="16" t="inlineStr">
        <is>
          <t>Program Coordinator</t>
        </is>
      </c>
      <c r="L10" s="24">
        <f>IF(B10="","",IF(H10="","Orphan output: no outcome attached. Either attach one or drop the row.",IF(COUNTIF('2 Outcomes'!$A$7:$A$12,H10)=0,"Outcome ID "&amp;H10&amp;" does not exist on the Outcomes sheet.","Evidence for "&amp;H10&amp;": "&amp;IFERROR(VLOOKUP(H10,'2 Outcomes'!$A$7:$C$12,3,FALSE),""))))</f>
        <v/>
      </c>
    </row>
    <row r="11" ht="44" customHeight="1">
      <c r="A11" s="25" t="inlineStr">
        <is>
          <t>OP-5</t>
        </is>
      </c>
      <c r="B11" s="16" t="inlineStr">
        <is>
          <t>Family literacy nights held</t>
        </is>
      </c>
      <c r="C11" s="16" t="inlineStr">
        <is>
          <t>events</t>
        </is>
      </c>
      <c r="D11" s="62" t="n">
        <v>2</v>
      </c>
      <c r="E11" s="16" t="inlineStr">
        <is>
          <t>The family event count on Program Setup</t>
        </is>
      </c>
      <c r="F11" s="63">
        <f>'Program Setup'!B19</f>
        <v/>
      </c>
      <c r="G11" s="24">
        <f>IF(B11="","",IF(F11="","No independent figure, add the derivation in column E and link the quantity to Program Setup.",IF(D11=F11,"Matches. "&amp;TEXT(D11,"#,##0")&amp;" "&amp;C11&amp;" is what the schedule produces.","Check: the model claims "&amp;TEXT(D11,"#,##0")&amp;" but the schedule computes "&amp;TEXT(F11,"#,##0")&amp;". A count carried over from a bigger schedule describes a program the budget does not fund.")))</f>
        <v/>
      </c>
      <c r="H11" s="16" t="inlineStr">
        <is>
          <t>OC-1</t>
        </is>
      </c>
      <c r="I11" s="16" t="inlineStr">
        <is>
          <t>Event sign-in sheets and agendas</t>
        </is>
      </c>
      <c r="J11" s="16" t="inlineStr">
        <is>
          <t>Semi-annual</t>
        </is>
      </c>
      <c r="K11" s="16" t="inlineStr">
        <is>
          <t>Family Engagement Volunteer</t>
        </is>
      </c>
      <c r="L11" s="24">
        <f>IF(B11="","",IF(H11="","Orphan output: no outcome attached. Either attach one or drop the row.",IF(COUNTIF('2 Outcomes'!$A$7:$A$12,H11)=0,"Outcome ID "&amp;H11&amp;" does not exist on the Outcomes sheet.","Evidence for "&amp;H11&amp;": "&amp;IFERROR(VLOOKUP(H11,'2 Outcomes'!$A$7:$C$12,3,FALSE),""))))</f>
        <v/>
      </c>
    </row>
    <row r="12" ht="44" customHeight="1">
      <c r="A12" s="25" t="inlineStr">
        <is>
          <t>OP-6</t>
        </is>
      </c>
      <c r="B12" s="16" t="inlineStr">
        <is>
          <t>Reading level records received from the partner school</t>
        </is>
      </c>
      <c r="C12" s="16" t="inlineStr">
        <is>
          <t>students</t>
        </is>
      </c>
      <c r="D12" s="62" t="n">
        <v>25</v>
      </c>
      <c r="E12" s="16" t="inlineStr">
        <is>
          <t>Participants meeting the 60 percent dose condition</t>
        </is>
      </c>
      <c r="F12" s="63">
        <f>'2 Outcomes'!G8</f>
        <v/>
      </c>
      <c r="G12" s="24">
        <f>IF(B12="","",IF(F12="","No independent figure, add the derivation in column E and link the quantity to Program Setup.",IF(D12=F12,"Matches. "&amp;TEXT(D12,"#,##0")&amp;" "&amp;C12&amp;" is what the schedule produces.","Check: the model claims "&amp;TEXT(D12,"#,##0")&amp;" but the schedule computes "&amp;TEXT(F12,"#,##0")&amp;". A count carried over from a bigger schedule describes a program the budget does not fund.")))</f>
        <v/>
      </c>
      <c r="H12" s="16" t="inlineStr">
        <is>
          <t>OC-2</t>
        </is>
      </c>
      <c r="I12" s="16" t="inlineStr">
        <is>
          <t>Partner school data share agreement</t>
        </is>
      </c>
      <c r="J12" s="16" t="inlineStr">
        <is>
          <t>Spring</t>
        </is>
      </c>
      <c r="K12" s="16" t="inlineStr">
        <is>
          <t>Program Coordinator</t>
        </is>
      </c>
      <c r="L12" s="24">
        <f>IF(B12="","",IF(H12="","Orphan output: no outcome attached. Either attach one or drop the row.",IF(COUNTIF('2 Outcomes'!$A$7:$A$12,H12)=0,"Outcome ID "&amp;H12&amp;" does not exist on the Outcomes sheet.","Evidence for "&amp;H12&amp;": "&amp;IFERROR(VLOOKUP(H12,'2 Outcomes'!$A$7:$C$12,3,FALSE),""))))</f>
        <v/>
      </c>
    </row>
    <row r="13" ht="44" customHeight="1">
      <c r="A13" s="25" t="inlineStr">
        <is>
          <t>OP-7</t>
        </is>
      </c>
      <c r="B13" s="16" t="n"/>
      <c r="C13" s="16" t="n"/>
      <c r="D13" s="62" t="n"/>
      <c r="E13" s="16" t="n"/>
      <c r="F13" s="63" t="n"/>
      <c r="G13" s="24">
        <f>IF(B13="","",IF(F13="","No independent figure, add the derivation in column E and link the quantity to Program Setup.",IF(D13=F13,"Matches. "&amp;TEXT(D13,"#,##0")&amp;" "&amp;C13&amp;" is what the schedule produces.","Check: the model claims "&amp;TEXT(D13,"#,##0")&amp;" but the schedule computes "&amp;TEXT(F13,"#,##0")&amp;". A count carried over from a bigger schedule describes a program the budget does not fund.")))</f>
        <v/>
      </c>
      <c r="H13" s="16" t="n"/>
      <c r="I13" s="16" t="n"/>
      <c r="J13" s="16" t="n"/>
      <c r="K13" s="16" t="n"/>
      <c r="L13" s="24">
        <f>IF(B13="","",IF(H13="","Orphan output: no outcome attached. Either attach one or drop the row.",IF(COUNTIF('2 Outcomes'!$A$7:$A$12,H13)=0,"Outcome ID "&amp;H13&amp;" does not exist on the Outcomes sheet.","Evidence for "&amp;H13&amp;": "&amp;IFERROR(VLOOKUP(H13,'2 Outcomes'!$A$7:$C$12,3,FALSE),""))))</f>
        <v/>
      </c>
    </row>
    <row r="14" ht="44" customHeight="1">
      <c r="A14" s="25" t="inlineStr">
        <is>
          <t>OP-8</t>
        </is>
      </c>
      <c r="B14" s="16" t="n"/>
      <c r="C14" s="16" t="n"/>
      <c r="D14" s="62" t="n"/>
      <c r="E14" s="16" t="n"/>
      <c r="F14" s="63" t="n"/>
      <c r="G14" s="24">
        <f>IF(B14="","",IF(F14="","No independent figure, add the derivation in column E and link the quantity to Program Setup.",IF(D14=F14,"Matches. "&amp;TEXT(D14,"#,##0")&amp;" "&amp;C14&amp;" is what the schedule produces.","Check: the model claims "&amp;TEXT(D14,"#,##0")&amp;" but the schedule computes "&amp;TEXT(F14,"#,##0")&amp;". A count carried over from a bigger schedule describes a program the budget does not fund.")))</f>
        <v/>
      </c>
      <c r="H14" s="16" t="n"/>
      <c r="I14" s="16" t="n"/>
      <c r="J14" s="16" t="n"/>
      <c r="K14" s="16" t="n"/>
      <c r="L14" s="24">
        <f>IF(B14="","",IF(H14="","Orphan output: no outcome attached. Either attach one or drop the row.",IF(COUNTIF('2 Outcomes'!$A$7:$A$12,H14)=0,"Outcome ID "&amp;H14&amp;" does not exist on the Outcomes sheet.","Evidence for "&amp;H14&amp;": "&amp;IFERROR(VLOOKUP(H14,'2 Outcomes'!$A$7:$C$12,3,FALSE),""))))</f>
        <v/>
      </c>
    </row>
    <row r="15" ht="44" customHeight="1">
      <c r="A15" s="25" t="inlineStr">
        <is>
          <t>OP-9</t>
        </is>
      </c>
      <c r="B15" s="16" t="n"/>
      <c r="C15" s="16" t="n"/>
      <c r="D15" s="62" t="n"/>
      <c r="E15" s="16" t="n"/>
      <c r="F15" s="63" t="n"/>
      <c r="G15" s="24">
        <f>IF(B15="","",IF(F15="","No independent figure, add the derivation in column E and link the quantity to Program Setup.",IF(D15=F15,"Matches. "&amp;TEXT(D15,"#,##0")&amp;" "&amp;C15&amp;" is what the schedule produces.","Check: the model claims "&amp;TEXT(D15,"#,##0")&amp;" but the schedule computes "&amp;TEXT(F15,"#,##0")&amp;". A count carried over from a bigger schedule describes a program the budget does not fund.")))</f>
        <v/>
      </c>
      <c r="H15" s="16" t="n"/>
      <c r="I15" s="16" t="n"/>
      <c r="J15" s="16" t="n"/>
      <c r="K15" s="16" t="n"/>
      <c r="L15" s="24">
        <f>IF(B15="","",IF(H15="","Orphan output: no outcome attached. Either attach one or drop the row.",IF(COUNTIF('2 Outcomes'!$A$7:$A$12,H15)=0,"Outcome ID "&amp;H15&amp;" does not exist on the Outcomes sheet.","Evidence for "&amp;H15&amp;": "&amp;IFERROR(VLOOKUP(H15,'2 Outcomes'!$A$7:$C$12,3,FALSE),""))))</f>
        <v/>
      </c>
    </row>
    <row r="17" ht="20" customHeight="1">
      <c r="A17" s="4" t="inlineStr">
        <is>
          <t>OUTPUT SUMMARY: live</t>
        </is>
      </c>
      <c r="B17" s="5" t="n"/>
      <c r="C17" s="5" t="n"/>
      <c r="D17" s="5" t="n"/>
      <c r="E17" s="5" t="n"/>
      <c r="F17" s="5" t="n"/>
      <c r="G17" s="5" t="n"/>
      <c r="H17" s="5" t="n"/>
      <c r="I17" s="5" t="n"/>
      <c r="J17" s="5" t="n"/>
      <c r="K17" s="5" t="n"/>
      <c r="L17" s="5" t="n"/>
    </row>
    <row r="18" ht="20" customHeight="1">
      <c r="A18" s="7" t="inlineStr">
        <is>
          <t>Figure</t>
        </is>
      </c>
      <c r="B18" s="7" t="inlineStr">
        <is>
          <t>Value</t>
        </is>
      </c>
      <c r="C18" s="7" t="inlineStr">
        <is>
          <t>What it means</t>
        </is>
      </c>
      <c r="D18" s="7" t="inlineStr"/>
      <c r="E18" s="7" t="inlineStr"/>
      <c r="F18" s="7" t="inlineStr"/>
      <c r="G18" s="7" t="inlineStr"/>
      <c r="H18" s="7" t="inlineStr"/>
      <c r="I18" s="7" t="inlineStr"/>
      <c r="J18" s="7" t="inlineStr"/>
      <c r="K18" s="7" t="inlineStr"/>
      <c r="L18" s="7" t="inlineStr"/>
    </row>
    <row r="19" ht="32" customHeight="1">
      <c r="A19" s="8" t="inlineStr">
        <is>
          <t>Outputs defined</t>
        </is>
      </c>
      <c r="B19" s="63">
        <f>COUNTA($B$7:$B$15)</f>
        <v/>
      </c>
      <c r="C19" s="26" t="inlineStr">
        <is>
          <t>One page holds about six chains. More than that stops being readable at print size.</t>
        </is>
      </c>
      <c r="D19" s="27" t="n"/>
      <c r="E19" s="27" t="n"/>
      <c r="F19" s="27" t="n"/>
      <c r="G19" s="27" t="n"/>
      <c r="H19" s="28" t="n"/>
    </row>
    <row r="20" ht="32" customHeight="1">
      <c r="A20" s="8" t="inlineStr">
        <is>
          <t>Outputs with no outcome attached</t>
        </is>
      </c>
      <c r="B20" s="63">
        <f>COUNTIFS($B$7:$B$15,"&lt;&gt;",$H$7:$H$15,"")</f>
        <v/>
      </c>
      <c r="C20" s="26" t="inlineStr">
        <is>
          <t>An output attached to nothing is a number you will have to report and nobody will use.</t>
        </is>
      </c>
      <c r="D20" s="27" t="n"/>
      <c r="E20" s="27" t="n"/>
      <c r="F20" s="27" t="n"/>
      <c r="G20" s="27" t="n"/>
      <c r="H20" s="28" t="n"/>
    </row>
    <row r="21" ht="32" customHeight="1">
      <c r="A21" s="8" t="inlineStr">
        <is>
          <t>Counts that disagree with the schedule</t>
        </is>
      </c>
      <c r="B21" s="63">
        <f>COUNTIF($G$7:$G$15,"Check:*")</f>
        <v/>
      </c>
      <c r="C21" s="26" t="inlineStr">
        <is>
          <t>Each one is a claim the budget cannot pay for.</t>
        </is>
      </c>
      <c r="D21" s="27" t="n"/>
      <c r="E21" s="27" t="n"/>
      <c r="F21" s="27" t="n"/>
      <c r="G21" s="27" t="n"/>
      <c r="H21" s="28" t="n"/>
    </row>
    <row r="22" ht="32" customHeight="1">
      <c r="A22" s="8" t="inlineStr">
        <is>
          <t>Outcomes with no output evidence</t>
        </is>
      </c>
      <c r="B22" s="63">
        <f>SUMPRODUCT(('2 Outcomes'!$A$7:$A$12&lt;&gt;"")*('2 Outcomes'!$C$7:$C$12&lt;&gt;"")*(COUNTIF($H$7:$H$15,'2 Outcomes'!$A$7:$A$12&amp;"")=0))</f>
        <v/>
      </c>
      <c r="C22" s="26" t="inlineStr">
        <is>
          <t>An outcome with no output behind it has no evidence that the work that produces it happened.</t>
        </is>
      </c>
      <c r="D22" s="27" t="n"/>
      <c r="E22" s="27" t="n"/>
      <c r="F22" s="27" t="n"/>
      <c r="G22" s="27" t="n"/>
      <c r="H22" s="28" t="n"/>
    </row>
    <row r="23" ht="32" customHeight="1">
      <c r="A23" s="8" t="inlineStr">
        <is>
          <t>Outputs with no data source</t>
        </is>
      </c>
      <c r="B23" s="63">
        <f>COUNTIFS($B$7:$B$15,"&lt;&gt;",$I$7:$I$15,"")</f>
        <v/>
      </c>
      <c r="C23" s="26" t="inlineStr">
        <is>
          <t>Every output in a good model is a number somebody can produce from a sign-in sheet.</t>
        </is>
      </c>
      <c r="D23" s="27" t="n"/>
      <c r="E23" s="27" t="n"/>
      <c r="F23" s="27" t="n"/>
      <c r="G23" s="27" t="n"/>
      <c r="H23" s="28" t="n"/>
    </row>
    <row r="24" ht="32" customHeight="1">
      <c r="A24" s="8" t="inlineStr">
        <is>
          <t>Outputs with no owner</t>
        </is>
      </c>
      <c r="B24" s="63">
        <f>COUNTIFS($B$7:$B$15,"&lt;&gt;",$K$7:$K$15,"")</f>
        <v/>
      </c>
      <c r="C24" s="26" t="inlineStr">
        <is>
          <t>At report time an unowned count is the one that is late.</t>
        </is>
      </c>
      <c r="D24" s="27" t="n"/>
      <c r="E24" s="27" t="n"/>
      <c r="F24" s="27" t="n"/>
      <c r="G24" s="27" t="n"/>
      <c r="H24" s="28" t="n"/>
    </row>
    <row r="25" ht="32" customHeight="1">
      <c r="A25" s="8" t="inlineStr">
        <is>
          <t>Total units of service in the model</t>
        </is>
      </c>
      <c r="B25" s="63">
        <f>SUM($D$7:$D$15)</f>
        <v/>
      </c>
      <c r="C25" s="26" t="inlineStr">
        <is>
          <t>The headline number a program officer will quote back to you.</t>
        </is>
      </c>
      <c r="D25" s="27" t="n"/>
      <c r="E25" s="27" t="n"/>
      <c r="F25" s="27" t="n"/>
      <c r="G25" s="27" t="n"/>
      <c r="H25" s="28" t="n"/>
    </row>
    <row r="26" ht="32" customHeight="1">
      <c r="A26" s="8" t="inlineStr">
        <is>
          <t>Output verdict</t>
        </is>
      </c>
      <c r="B26" s="24">
        <f>IF(B19=0,"No outputs yet.",IF(B20+B21+B22=0,"Every output is counted, attached to an outcome, and agrees with the schedule.","Fix "&amp;B20+B21+B22&amp;" issue(s) above. Each is a place where the model and the budget describe different programs."))</f>
        <v/>
      </c>
      <c r="C26" s="26" t="inlineStr">
        <is>
          <t>The gate before you move to activities.</t>
        </is>
      </c>
      <c r="D26" s="27" t="n"/>
      <c r="E26" s="27" t="n"/>
      <c r="F26" s="27" t="n"/>
      <c r="G26" s="27" t="n"/>
      <c r="H26" s="28" t="n"/>
    </row>
    <row r="28" ht="20" customHeight="1">
      <c r="A28" s="4" t="inlineStr">
        <is>
          <t>THE ARITHMETIC THAT CAUGHT THIS EXAMPLE</t>
        </is>
      </c>
      <c r="B28" s="5" t="n"/>
      <c r="C28" s="5" t="n"/>
      <c r="D28" s="5" t="n"/>
      <c r="E28" s="5" t="n"/>
      <c r="F28" s="5" t="n"/>
      <c r="G28" s="5" t="n"/>
      <c r="H28" s="5" t="n"/>
      <c r="I28" s="5" t="n"/>
      <c r="J28" s="5" t="n"/>
      <c r="K28" s="5" t="n"/>
      <c r="L28" s="5" t="n"/>
    </row>
    <row r="29" ht="58" customHeight="1">
      <c r="A29" s="6" t="inlineStr">
        <is>
          <t>The first draft of this composite assumed a full-time coordinator and three tutoring afternoons a week. At a $25,000 request, with volunteer tutors and donated space absorbing most of the delivery cost, that line pays for part-time hours and nothing more. The program dropped to two afternoons, and the output count had to move with it: two sessions a week across a twenty-four week term is forty-eight. Change the sessions-per-week cell on Program Setup to 3 and watch column F disagree with column D on the tutoring row, that disagreement is the whole point of this sheet.</t>
        </is>
      </c>
    </row>
    <row r="31">
      <c r="A31" s="15" t="inlineStr">
        <is>
          <t>GrantCue - grantcue.com/blog/logic-model-for-grant-writing</t>
        </is>
      </c>
    </row>
  </sheetData>
  <mergeCells count="9">
    <mergeCell ref="C25:H25"/>
    <mergeCell ref="C24:H24"/>
    <mergeCell ref="A29:L29"/>
    <mergeCell ref="C19:H19"/>
    <mergeCell ref="C22:H22"/>
    <mergeCell ref="C23:H23"/>
    <mergeCell ref="C26:H26"/>
    <mergeCell ref="C21:H21"/>
    <mergeCell ref="C20:H20"/>
  </mergeCells>
  <dataValidations count="1">
    <dataValidation sqref="H7:H15" showDropDown="0" showInputMessage="0" showErrorMessage="0" allowBlank="1" type="list">
      <formula1>OutcomeIDs</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tabColor rgb="004A7CA6"/>
    <outlinePr summaryBelow="1" summaryRight="1"/>
    <pageSetUpPr fitToPage="1"/>
  </sheetPr>
  <dimension ref="A1:K43"/>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0" customWidth="1" min="2" max="2"/>
    <col width="26" customWidth="1" min="3" max="3"/>
    <col width="24" customWidth="1" min="4" max="4"/>
    <col width="14" customWidth="1" min="5" max="5"/>
    <col width="14" customWidth="1" min="6" max="6"/>
    <col width="10" customWidth="1" min="7" max="7"/>
    <col width="12" customWidth="1" min="8" max="8"/>
    <col width="14" customWidth="1" min="9" max="9"/>
    <col width="22" customWidth="1" min="10" max="10"/>
    <col width="46" customWidth="1" min="11" max="11"/>
  </cols>
  <sheetData>
    <row r="1">
      <c r="A1" s="1" t="inlineStr">
        <is>
          <t>Step 4: List the Activities</t>
        </is>
      </c>
    </row>
    <row r="2">
      <c r="A2" s="2" t="inlineStr">
        <is>
          <t>Include only the activities that produce the outputs you just listed. An activity with no output attached is either missing a measure or does not belong in this proposal.</t>
        </is>
      </c>
    </row>
    <row r="3">
      <c r="A3" s="3" t="inlineStr">
        <is>
          <t>The activities column holds what you do for participants. Grant writing, hiring and reporting are project management tasks, not program activities.</t>
        </is>
      </c>
    </row>
    <row r="5" ht="20" customHeight="1">
      <c r="A5" s="4" t="inlineStr">
        <is>
          <t>ACTIVITY REGISTER</t>
        </is>
      </c>
      <c r="B5" s="5" t="n"/>
      <c r="C5" s="5" t="n"/>
      <c r="D5" s="5" t="n"/>
      <c r="E5" s="5" t="n"/>
      <c r="F5" s="5" t="n"/>
      <c r="G5" s="5" t="n"/>
      <c r="H5" s="5" t="n"/>
      <c r="I5" s="5" t="n"/>
      <c r="J5" s="5" t="n"/>
      <c r="K5" s="5" t="n"/>
    </row>
    <row r="6" ht="34" customHeight="1">
      <c r="A6" s="7" t="inlineStr">
        <is>
          <t>ID</t>
        </is>
      </c>
      <c r="B6" s="7" t="inlineStr">
        <is>
          <t>Activity: participant-facing</t>
        </is>
      </c>
      <c r="C6" s="7" t="inlineStr">
        <is>
          <t>Who delivers it</t>
        </is>
      </c>
      <c r="D6" s="7" t="inlineStr">
        <is>
          <t>Frequency</t>
        </is>
      </c>
      <c r="E6" s="7" t="inlineStr">
        <is>
          <t>Starts</t>
        </is>
      </c>
      <c r="F6" s="7" t="inlineStr">
        <is>
          <t>Ends</t>
        </is>
      </c>
      <c r="G6" s="7" t="inlineStr">
        <is>
          <t>Output</t>
        </is>
      </c>
      <c r="H6" s="7" t="inlineStr">
        <is>
          <t>Units planned</t>
        </is>
      </c>
      <c r="I6" s="7" t="inlineStr">
        <is>
          <t>Output target (live)</t>
        </is>
      </c>
      <c r="J6" s="7" t="inlineStr">
        <is>
          <t>Classification</t>
        </is>
      </c>
      <c r="K6" s="7" t="inlineStr">
        <is>
          <t>Chain check (live)</t>
        </is>
      </c>
    </row>
    <row r="7" ht="44" customHeight="1">
      <c r="A7" s="25" t="inlineStr">
        <is>
          <t>AC-1</t>
        </is>
      </c>
      <c r="B7" s="16" t="inlineStr">
        <is>
          <t>Enrol and orient students with the partner school</t>
        </is>
      </c>
      <c r="C7" s="16" t="inlineStr">
        <is>
          <t>Program Coordinator, with the school's reading specialist</t>
        </is>
      </c>
      <c r="D7" s="16" t="inlineStr">
        <is>
          <t>Once, in weeks 1 and 2 of the term</t>
        </is>
      </c>
      <c r="E7" s="61" t="n">
        <v>46637</v>
      </c>
      <c r="F7" s="61" t="n">
        <v>46648</v>
      </c>
      <c r="G7" s="16" t="inlineStr">
        <is>
          <t>OP-1</t>
        </is>
      </c>
      <c r="H7" s="62">
        <f>'Program Setup'!B16</f>
        <v/>
      </c>
      <c r="I7" s="63">
        <f>IF(G7="","",IFERROR(VLOOKUP(G7,'3 Outputs'!$A$7:$D$15,4,FALSE),"not found"))</f>
        <v/>
      </c>
      <c r="J7" s="16" t="inlineStr">
        <is>
          <t>Program activity</t>
        </is>
      </c>
      <c r="K7" s="24">
        <f>IF(B7="","",IF(J7="Project management - remove","Project management, not a program activity. The activities column holds what you do for participants.",IF(G7="","No output attached. This activity is either missing a measure or does not belong in this proposal, ask who runs it on a Tuesday afternoon and what record comes out of it.",IF(I7="not found","Output ID "&amp;G7&amp;" does not exist on the Outputs sheet.",IF(H7=I7,"Produces "&amp;G7&amp;", "&amp;TEXT(I7,"#,##0")&amp;" units. Units agree with the output target.","Units disagree: this row plans "&amp;TEXT(H7,"#,##0")&amp;" but "&amp;G7&amp;" targets "&amp;TEXT(I7,"#,##0")&amp;".")))))</f>
        <v/>
      </c>
    </row>
    <row r="8" ht="44" customHeight="1">
      <c r="A8" s="25" t="inlineStr">
        <is>
          <t>AC-2</t>
        </is>
      </c>
      <c r="B8" s="16" t="inlineStr">
        <is>
          <t>Recruit, screen and train volunteer tutors</t>
        </is>
      </c>
      <c r="C8" s="16" t="inlineStr">
        <is>
          <t>Volunteer Coordinator</t>
        </is>
      </c>
      <c r="D8" s="16" t="inlineStr">
        <is>
          <t>Two cohorts, September and January</t>
        </is>
      </c>
      <c r="E8" s="61" t="n">
        <v>46616</v>
      </c>
      <c r="F8" s="61" t="n">
        <v>46778</v>
      </c>
      <c r="G8" s="16" t="inlineStr">
        <is>
          <t>OP-3</t>
        </is>
      </c>
      <c r="H8" s="62">
        <f>'Program Setup'!B17</f>
        <v/>
      </c>
      <c r="I8" s="63">
        <f>IF(G8="","",IFERROR(VLOOKUP(G8,'3 Outputs'!$A$7:$D$15,4,FALSE),"not found"))</f>
        <v/>
      </c>
      <c r="J8" s="16" t="inlineStr">
        <is>
          <t>Program activity</t>
        </is>
      </c>
      <c r="K8" s="24">
        <f>IF(B8="","",IF(J8="Project management - remove","Project management, not a program activity. The activities column holds what you do for participants.",IF(G8="","No output attached. This activity is either missing a measure or does not belong in this proposal, ask who runs it on a Tuesday afternoon and what record comes out of it.",IF(I8="not found","Output ID "&amp;G8&amp;" does not exist on the Outputs sheet.",IF(H8=I8,"Produces "&amp;G8&amp;", "&amp;TEXT(I8,"#,##0")&amp;" units. Units agree with the output target.","Units disagree: this row plans "&amp;TEXT(H8,"#,##0")&amp;" but "&amp;G8&amp;" targets "&amp;TEXT(I8,"#,##0")&amp;".")))))</f>
        <v/>
      </c>
    </row>
    <row r="9" ht="44" customHeight="1">
      <c r="A9" s="25" t="inlineStr">
        <is>
          <t>AC-3</t>
        </is>
      </c>
      <c r="B9" s="16" t="inlineStr">
        <is>
          <t>Run 90-minute small-group tutoring sessions twice weekly</t>
        </is>
      </c>
      <c r="C9" s="16" t="inlineStr">
        <is>
          <t>Volunteer tutors, supervised by the Program Coordinator</t>
        </is>
      </c>
      <c r="D9" s="16" t="inlineStr">
        <is>
          <t>Twice weekly across 24 program weeks</t>
        </is>
      </c>
      <c r="E9" s="61" t="n">
        <v>46651</v>
      </c>
      <c r="F9" s="61" t="n">
        <v>46898</v>
      </c>
      <c r="G9" s="16" t="inlineStr">
        <is>
          <t>OP-2</t>
        </is>
      </c>
      <c r="H9" s="62">
        <f>'Program Setup'!B27</f>
        <v/>
      </c>
      <c r="I9" s="63">
        <f>IF(G9="","",IFERROR(VLOOKUP(G9,'3 Outputs'!$A$7:$D$15,4,FALSE),"not found"))</f>
        <v/>
      </c>
      <c r="J9" s="16" t="inlineStr">
        <is>
          <t>Program activity</t>
        </is>
      </c>
      <c r="K9" s="24">
        <f>IF(B9="","",IF(J9="Project management - remove","Project management, not a program activity. The activities column holds what you do for participants.",IF(G9="","No output attached. This activity is either missing a measure or does not belong in this proposal, ask who runs it on a Tuesday afternoon and what record comes out of it.",IF(I9="not found","Output ID "&amp;G9&amp;" does not exist on the Outputs sheet.",IF(H9=I9,"Produces "&amp;G9&amp;", "&amp;TEXT(I9,"#,##0")&amp;" units. Units agree with the output target.","Units disagree: this row plans "&amp;TEXT(H9,"#,##0")&amp;" but "&amp;G9&amp;" targets "&amp;TEXT(I9,"#,##0")&amp;".")))))</f>
        <v/>
      </c>
    </row>
    <row r="10" ht="44" customHeight="1">
      <c r="A10" s="25" t="inlineStr">
        <is>
          <t>AC-4</t>
        </is>
      </c>
      <c r="B10" s="16" t="inlineStr">
        <is>
          <t>Administer reading assessments in fall and spring</t>
        </is>
      </c>
      <c r="C10" s="16" t="inlineStr">
        <is>
          <t>Program Coordinator</t>
        </is>
      </c>
      <c r="D10" s="16" t="inlineStr">
        <is>
          <t>Twice in the term, weeks 2 and 23</t>
        </is>
      </c>
      <c r="E10" s="61" t="n">
        <v>46644</v>
      </c>
      <c r="F10" s="61" t="n">
        <v>46891</v>
      </c>
      <c r="G10" s="16" t="inlineStr">
        <is>
          <t>OP-4</t>
        </is>
      </c>
      <c r="H10" s="62">
        <f>'Program Setup'!B30</f>
        <v/>
      </c>
      <c r="I10" s="63">
        <f>IF(G10="","",IFERROR(VLOOKUP(G10,'3 Outputs'!$A$7:$D$15,4,FALSE),"not found"))</f>
        <v/>
      </c>
      <c r="J10" s="16" t="inlineStr">
        <is>
          <t>Program activity</t>
        </is>
      </c>
      <c r="K10" s="24">
        <f>IF(B10="","",IF(J10="Project management - remove","Project management, not a program activity. The activities column holds what you do for participants.",IF(G10="","No output attached. This activity is either missing a measure or does not belong in this proposal, ask who runs it on a Tuesday afternoon and what record comes out of it.",IF(I10="not found","Output ID "&amp;G10&amp;" does not exist on the Outputs sheet.",IF(H10=I10,"Produces "&amp;G10&amp;", "&amp;TEXT(I10,"#,##0")&amp;" units. Units agree with the output target.","Units disagree: this row plans "&amp;TEXT(H10,"#,##0")&amp;" but "&amp;G10&amp;" targets "&amp;TEXT(I10,"#,##0")&amp;".")))))</f>
        <v/>
      </c>
    </row>
    <row r="11" ht="44" customHeight="1">
      <c r="A11" s="25" t="inlineStr">
        <is>
          <t>AC-5</t>
        </is>
      </c>
      <c r="B11" s="16" t="inlineStr">
        <is>
          <t>Hold family literacy nights</t>
        </is>
      </c>
      <c r="C11" s="16" t="inlineStr">
        <is>
          <t>Program Coordinator with the Family Engagement Volunteer</t>
        </is>
      </c>
      <c r="D11" s="16" t="inlineStr">
        <is>
          <t>Twice in the term, November and April</t>
        </is>
      </c>
      <c r="E11" s="61" t="n">
        <v>46695</v>
      </c>
      <c r="F11" s="61" t="n">
        <v>46856</v>
      </c>
      <c r="G11" s="16" t="inlineStr">
        <is>
          <t>OP-5</t>
        </is>
      </c>
      <c r="H11" s="62">
        <f>'Program Setup'!B19</f>
        <v/>
      </c>
      <c r="I11" s="63">
        <f>IF(G11="","",IFERROR(VLOOKUP(G11,'3 Outputs'!$A$7:$D$15,4,FALSE),"not found"))</f>
        <v/>
      </c>
      <c r="J11" s="16" t="inlineStr">
        <is>
          <t>Program activity</t>
        </is>
      </c>
      <c r="K11" s="24">
        <f>IF(B11="","",IF(J11="Project management - remove","Project management, not a program activity. The activities column holds what you do for participants.",IF(G11="","No output attached. This activity is either missing a measure or does not belong in this proposal, ask who runs it on a Tuesday afternoon and what record comes out of it.",IF(I11="not found","Output ID "&amp;G11&amp;" does not exist on the Outputs sheet.",IF(H11=I11,"Produces "&amp;G11&amp;", "&amp;TEXT(I11,"#,##0")&amp;" units. Units agree with the output target.","Units disagree: this row plans "&amp;TEXT(H11,"#,##0")&amp;" but "&amp;G11&amp;" targets "&amp;TEXT(I11,"#,##0")&amp;".")))))</f>
        <v/>
      </c>
    </row>
    <row r="12" ht="44" customHeight="1">
      <c r="A12" s="25" t="inlineStr">
        <is>
          <t>AC-6</t>
        </is>
      </c>
      <c r="B12" s="16" t="inlineStr">
        <is>
          <t>Collect spring reading levels from the partner school</t>
        </is>
      </c>
      <c r="C12" s="16" t="inlineStr">
        <is>
          <t>Program Coordinator, with the partner school's data lead</t>
        </is>
      </c>
      <c r="D12" s="16" t="inlineStr">
        <is>
          <t>Once, in the spring assessment window</t>
        </is>
      </c>
      <c r="E12" s="61" t="n">
        <v>46874</v>
      </c>
      <c r="F12" s="61" t="n">
        <v>46898</v>
      </c>
      <c r="G12" s="16" t="inlineStr">
        <is>
          <t>OP-6</t>
        </is>
      </c>
      <c r="H12" s="62">
        <f>'2 Outcomes'!G8</f>
        <v/>
      </c>
      <c r="I12" s="63">
        <f>IF(G12="","",IFERROR(VLOOKUP(G12,'3 Outputs'!$A$7:$D$15,4,FALSE),"not found"))</f>
        <v/>
      </c>
      <c r="J12" s="16" t="inlineStr">
        <is>
          <t>Program activity</t>
        </is>
      </c>
      <c r="K12" s="24">
        <f>IF(B12="","",IF(J12="Project management - remove","Project management, not a program activity. The activities column holds what you do for participants.",IF(G12="","No output attached. This activity is either missing a measure or does not belong in this proposal, ask who runs it on a Tuesday afternoon and what record comes out of it.",IF(I12="not found","Output ID "&amp;G12&amp;" does not exist on the Outputs sheet.",IF(H12=I12,"Produces "&amp;G12&amp;", "&amp;TEXT(I12,"#,##0")&amp;" units. Units agree with the output target.","Units disagree: this row plans "&amp;TEXT(H12,"#,##0")&amp;" but "&amp;G12&amp;" targets "&amp;TEXT(I12,"#,##0")&amp;".")))))</f>
        <v/>
      </c>
    </row>
    <row r="13" ht="44" customHeight="1">
      <c r="A13" s="25" t="inlineStr">
        <is>
          <t>AC-7</t>
        </is>
      </c>
      <c r="B13" s="16" t="n"/>
      <c r="C13" s="16" t="n"/>
      <c r="D13" s="16" t="n"/>
      <c r="E13" s="61" t="n"/>
      <c r="F13" s="61" t="n"/>
      <c r="G13" s="16" t="n"/>
      <c r="H13" s="62" t="n"/>
      <c r="I13" s="63">
        <f>IF(G13="","",IFERROR(VLOOKUP(G13,'3 Outputs'!$A$7:$D$15,4,FALSE),"not found"))</f>
        <v/>
      </c>
      <c r="J13" s="16" t="n"/>
      <c r="K13" s="24">
        <f>IF(B13="","",IF(J13="Project management - remove","Project management, not a program activity. The activities column holds what you do for participants.",IF(G13="","No output attached. This activity is either missing a measure or does not belong in this proposal, ask who runs it on a Tuesday afternoon and what record comes out of it.",IF(I13="not found","Output ID "&amp;G13&amp;" does not exist on the Outputs sheet.",IF(H13=I13,"Produces "&amp;G13&amp;", "&amp;TEXT(I13,"#,##0")&amp;" units. Units agree with the output target.","Units disagree: this row plans "&amp;TEXT(H13,"#,##0")&amp;" but "&amp;G13&amp;" targets "&amp;TEXT(I13,"#,##0")&amp;".")))))</f>
        <v/>
      </c>
    </row>
    <row r="14" ht="44" customHeight="1">
      <c r="A14" s="25" t="inlineStr">
        <is>
          <t>AC-8</t>
        </is>
      </c>
      <c r="B14" s="16" t="n"/>
      <c r="C14" s="16" t="n"/>
      <c r="D14" s="16" t="n"/>
      <c r="E14" s="61" t="n"/>
      <c r="F14" s="61" t="n"/>
      <c r="G14" s="16" t="n"/>
      <c r="H14" s="62" t="n"/>
      <c r="I14" s="63">
        <f>IF(G14="","",IFERROR(VLOOKUP(G14,'3 Outputs'!$A$7:$D$15,4,FALSE),"not found"))</f>
        <v/>
      </c>
      <c r="J14" s="16" t="n"/>
      <c r="K14" s="24">
        <f>IF(B14="","",IF(J14="Project management - remove","Project management, not a program activity. The activities column holds what you do for participants.",IF(G14="","No output attached. This activity is either missing a measure or does not belong in this proposal, ask who runs it on a Tuesday afternoon and what record comes out of it.",IF(I14="not found","Output ID "&amp;G14&amp;" does not exist on the Outputs sheet.",IF(H14=I14,"Produces "&amp;G14&amp;", "&amp;TEXT(I14,"#,##0")&amp;" units. Units agree with the output target.","Units disagree: this row plans "&amp;TEXT(H14,"#,##0")&amp;" but "&amp;G14&amp;" targets "&amp;TEXT(I14,"#,##0")&amp;".")))))</f>
        <v/>
      </c>
    </row>
    <row r="15" ht="44" customHeight="1">
      <c r="A15" s="25" t="inlineStr">
        <is>
          <t>AC-9</t>
        </is>
      </c>
      <c r="B15" s="16" t="n"/>
      <c r="C15" s="16" t="n"/>
      <c r="D15" s="16" t="n"/>
      <c r="E15" s="61" t="n"/>
      <c r="F15" s="61" t="n"/>
      <c r="G15" s="16" t="n"/>
      <c r="H15" s="62" t="n"/>
      <c r="I15" s="63">
        <f>IF(G15="","",IFERROR(VLOOKUP(G15,'3 Outputs'!$A$7:$D$15,4,FALSE),"not found"))</f>
        <v/>
      </c>
      <c r="J15" s="16" t="n"/>
      <c r="K15" s="24">
        <f>IF(B15="","",IF(J15="Project management - remove","Project management, not a program activity. The activities column holds what you do for participants.",IF(G15="","No output attached. This activity is either missing a measure or does not belong in this proposal, ask who runs it on a Tuesday afternoon and what record comes out of it.",IF(I15="not found","Output ID "&amp;G15&amp;" does not exist on the Outputs sheet.",IF(H15=I15,"Produces "&amp;G15&amp;", "&amp;TEXT(I15,"#,##0")&amp;" units. Units agree with the output target.","Units disagree: this row plans "&amp;TEXT(H15,"#,##0")&amp;" but "&amp;G15&amp;" targets "&amp;TEXT(I15,"#,##0")&amp;".")))))</f>
        <v/>
      </c>
    </row>
    <row r="17" ht="20" customHeight="1">
      <c r="A17" s="4" t="inlineStr">
        <is>
          <t>ACTIVITY SUMMARY: live</t>
        </is>
      </c>
      <c r="B17" s="5" t="n"/>
      <c r="C17" s="5" t="n"/>
      <c r="D17" s="5" t="n"/>
      <c r="E17" s="5" t="n"/>
      <c r="F17" s="5" t="n"/>
      <c r="G17" s="5" t="n"/>
      <c r="H17" s="5" t="n"/>
      <c r="I17" s="5" t="n"/>
      <c r="J17" s="5" t="n"/>
      <c r="K17" s="5" t="n"/>
    </row>
    <row r="18" ht="20" customHeight="1">
      <c r="A18" s="7" t="inlineStr">
        <is>
          <t>Figure</t>
        </is>
      </c>
      <c r="B18" s="7" t="inlineStr">
        <is>
          <t>Value</t>
        </is>
      </c>
      <c r="C18" s="7" t="inlineStr">
        <is>
          <t>What it means</t>
        </is>
      </c>
      <c r="D18" s="7" t="inlineStr"/>
      <c r="E18" s="7" t="inlineStr"/>
      <c r="F18" s="7" t="inlineStr"/>
      <c r="G18" s="7" t="inlineStr"/>
      <c r="H18" s="7" t="inlineStr"/>
      <c r="I18" s="7" t="inlineStr"/>
      <c r="J18" s="7" t="inlineStr"/>
      <c r="K18" s="7" t="inlineStr"/>
    </row>
    <row r="19" ht="32" customHeight="1">
      <c r="A19" s="8" t="inlineStr">
        <is>
          <t>Activities listed</t>
        </is>
      </c>
      <c r="B19" s="63">
        <f>COUNTA($B$7:$B$15)</f>
        <v/>
      </c>
      <c r="C19" s="26" t="inlineStr">
        <is>
          <t>Every one of them has to appear on the workplan with a start date and an owner.</t>
        </is>
      </c>
      <c r="D19" s="27" t="n"/>
      <c r="E19" s="27" t="n"/>
      <c r="F19" s="27" t="n"/>
      <c r="G19" s="27" t="n"/>
      <c r="H19" s="28" t="n"/>
    </row>
    <row r="20" ht="32" customHeight="1">
      <c r="A20" s="8" t="inlineStr">
        <is>
          <t>Activities with no output attached</t>
        </is>
      </c>
      <c r="B20" s="63">
        <f>COUNTIFS($B$7:$B$15,"&lt;&gt;",$G$7:$G$15,"")</f>
        <v/>
      </c>
      <c r="C20" s="26" t="inlineStr">
        <is>
          <t>The article's test. An activity that produces nothing countable comes out of the model.</t>
        </is>
      </c>
      <c r="D20" s="27" t="n"/>
      <c r="E20" s="27" t="n"/>
      <c r="F20" s="27" t="n"/>
      <c r="G20" s="27" t="n"/>
      <c r="H20" s="28" t="n"/>
    </row>
    <row r="21" ht="32" customHeight="1">
      <c r="A21" s="8" t="inlineStr">
        <is>
          <t>Rows that are really project management</t>
        </is>
      </c>
      <c r="B21" s="63">
        <f>COUNTIF($J$7:$J$15,"Project management*")</f>
        <v/>
      </c>
      <c r="C21" s="26" t="inlineStr">
        <is>
          <t>Grant writing, hiring, board development and reporting belong on the project plan, not in this column.</t>
        </is>
      </c>
      <c r="D21" s="27" t="n"/>
      <c r="E21" s="27" t="n"/>
      <c r="F21" s="27" t="n"/>
      <c r="G21" s="27" t="n"/>
      <c r="H21" s="28" t="n"/>
    </row>
    <row r="22" ht="32" customHeight="1">
      <c r="A22" s="8" t="inlineStr">
        <is>
          <t>Activities whose units disagree with the output</t>
        </is>
      </c>
      <c r="B22" s="63">
        <f>COUNTIF($K$7:$K$15,"Units disagree*")</f>
        <v/>
      </c>
      <c r="C22" s="26" t="inlineStr">
        <is>
          <t>A mismatch here means the workplan and the outputs column were written by different people.</t>
        </is>
      </c>
      <c r="D22" s="27" t="n"/>
      <c r="E22" s="27" t="n"/>
      <c r="F22" s="27" t="n"/>
      <c r="G22" s="27" t="n"/>
      <c r="H22" s="28" t="n"/>
    </row>
    <row r="23" ht="32" customHeight="1">
      <c r="A23" s="8" t="inlineStr">
        <is>
          <t>Activities with no delivery owner</t>
        </is>
      </c>
      <c r="B23" s="63">
        <f>COUNTIFS($B$7:$B$15,"&lt;&gt;",$C$7:$C$15,"")</f>
        <v/>
      </c>
      <c r="C23" s="26" t="inlineStr">
        <is>
          <t>An activity that appears only in the diagram is aspiration.</t>
        </is>
      </c>
      <c r="D23" s="27" t="n"/>
      <c r="E23" s="27" t="n"/>
      <c r="F23" s="27" t="n"/>
      <c r="G23" s="27" t="n"/>
      <c r="H23" s="28" t="n"/>
    </row>
    <row r="24" ht="32" customHeight="1">
      <c r="A24" s="8" t="inlineStr">
        <is>
          <t>Activities with no start date</t>
        </is>
      </c>
      <c r="B24" s="63">
        <f>COUNTIFS($B$7:$B$15,"&lt;&gt;",$E$7:$E$15,"")</f>
        <v/>
      </c>
      <c r="C24" s="26" t="inlineStr">
        <is>
          <t>Every activity should appear on the timeline with a start date and an owner.</t>
        </is>
      </c>
      <c r="D24" s="27" t="n"/>
      <c r="E24" s="27" t="n"/>
      <c r="F24" s="27" t="n"/>
      <c r="G24" s="27" t="n"/>
      <c r="H24" s="28" t="n"/>
    </row>
    <row r="25" ht="32" customHeight="1">
      <c r="A25" s="8" t="inlineStr">
        <is>
          <t>Outputs produced by no activity</t>
        </is>
      </c>
      <c r="B25" s="63">
        <f>SUMPRODUCT(('3 Outputs'!$A$7:$A$15&lt;&gt;"")*('3 Outputs'!$B$7:$B$15&lt;&gt;"")*(COUNTIF($G$7:$G$15,'3 Outputs'!$A$7:$A$15&amp;"")=0))</f>
        <v/>
      </c>
      <c r="C25" s="26" t="inlineStr">
        <is>
          <t>A count with nothing producing it. Either an activity is missing or the output is not real.</t>
        </is>
      </c>
      <c r="D25" s="27" t="n"/>
      <c r="E25" s="27" t="n"/>
      <c r="F25" s="27" t="n"/>
      <c r="G25" s="27" t="n"/>
      <c r="H25" s="28" t="n"/>
    </row>
    <row r="26" ht="32" customHeight="1">
      <c r="A26" s="8" t="inlineStr">
        <is>
          <t>Earliest activity start</t>
        </is>
      </c>
      <c r="B26" s="66">
        <f>IFERROR(MIN($E$7:$E$15),"")</f>
        <v/>
      </c>
      <c r="C26" s="26" t="inlineStr">
        <is>
          <t>Compare with the grant term start. Work before the award date is usually unallowable.</t>
        </is>
      </c>
      <c r="D26" s="27" t="n"/>
      <c r="E26" s="27" t="n"/>
      <c r="F26" s="27" t="n"/>
      <c r="G26" s="27" t="n"/>
      <c r="H26" s="28" t="n"/>
    </row>
    <row r="27" ht="32" customHeight="1">
      <c r="A27" s="8" t="inlineStr">
        <is>
          <t>Latest activity end</t>
        </is>
      </c>
      <c r="B27" s="66">
        <f>IFERROR(MAX($F$7:$F$15),"")</f>
        <v/>
      </c>
      <c r="C27" s="26" t="inlineStr">
        <is>
          <t>Compare with the grant term end and leave room for the final report.</t>
        </is>
      </c>
      <c r="D27" s="27" t="n"/>
      <c r="E27" s="27" t="n"/>
      <c r="F27" s="27" t="n"/>
      <c r="G27" s="27" t="n"/>
      <c r="H27" s="28" t="n"/>
    </row>
    <row r="28" ht="32" customHeight="1">
      <c r="A28" s="8" t="inlineStr">
        <is>
          <t>Activity verdict</t>
        </is>
      </c>
      <c r="B28" s="24">
        <f>IF(B19=0,"No activities yet.",IF(B20+B21+B22+B25=0,"Every activity is participant-facing, produces a counted output, and agrees with the output targets.","Fix "&amp;B20+B21+B22+B25&amp;" issue(s) above before pricing the inputs."))</f>
        <v/>
      </c>
      <c r="C28" s="26" t="inlineStr">
        <is>
          <t>The gate before you price anything.</t>
        </is>
      </c>
      <c r="D28" s="27" t="n"/>
      <c r="E28" s="27" t="n"/>
      <c r="F28" s="27" t="n"/>
      <c r="G28" s="27" t="n"/>
      <c r="H28" s="28" t="n"/>
    </row>
    <row r="30" ht="20" customHeight="1">
      <c r="A30" s="4" t="inlineStr">
        <is>
          <t>BELONGS IN THIS COLUMN, OR DOES NOT</t>
        </is>
      </c>
      <c r="B30" s="5" t="n"/>
      <c r="C30" s="5" t="n"/>
      <c r="D30" s="5" t="n"/>
      <c r="E30" s="5" t="n"/>
      <c r="F30" s="5" t="n"/>
      <c r="G30" s="5" t="n"/>
      <c r="H30" s="5" t="n"/>
      <c r="I30" s="5" t="n"/>
      <c r="J30" s="5" t="n"/>
      <c r="K30" s="5" t="n"/>
    </row>
    <row r="31" ht="20" customHeight="1">
      <c r="A31" s="7" t="inlineStr">
        <is>
          <t>Candidate</t>
        </is>
      </c>
      <c r="B31" s="7" t="inlineStr">
        <is>
          <t>In or out</t>
        </is>
      </c>
      <c r="C31" s="7" t="inlineStr">
        <is>
          <t>Why</t>
        </is>
      </c>
      <c r="D31" s="7" t="inlineStr"/>
      <c r="E31" s="7" t="inlineStr"/>
      <c r="F31" s="7" t="inlineStr"/>
      <c r="G31" s="7" t="inlineStr"/>
      <c r="H31" s="7" t="inlineStr"/>
      <c r="I31" s="7" t="inlineStr"/>
      <c r="J31" s="7" t="inlineStr"/>
      <c r="K31" s="7" t="inlineStr"/>
    </row>
    <row r="32" ht="32" customHeight="1">
      <c r="A32" s="9" t="inlineStr">
        <is>
          <t>Run 90-minute tutoring sessions twice weekly</t>
        </is>
      </c>
      <c r="B32" s="30" t="inlineStr">
        <is>
          <t>In</t>
        </is>
      </c>
      <c r="C32" s="9" t="inlineStr">
        <is>
          <t>Participant-facing, and it produces a session count.</t>
        </is>
      </c>
      <c r="D32" s="27" t="n"/>
      <c r="E32" s="27" t="n"/>
      <c r="F32" s="27" t="n"/>
      <c r="G32" s="27" t="n"/>
      <c r="H32" s="28" t="n"/>
    </row>
    <row r="33" ht="32" customHeight="1">
      <c r="A33" s="9" t="inlineStr">
        <is>
          <t>Administer reading assessments</t>
        </is>
      </c>
      <c r="B33" s="30" t="inlineStr">
        <is>
          <t>In</t>
        </is>
      </c>
      <c r="C33" s="9" t="inlineStr">
        <is>
          <t>Participant-facing, and it produces an assessment count that an outcome depends on.</t>
        </is>
      </c>
      <c r="D33" s="27" t="n"/>
      <c r="E33" s="27" t="n"/>
      <c r="F33" s="27" t="n"/>
      <c r="G33" s="27" t="n"/>
      <c r="H33" s="28" t="n"/>
    </row>
    <row r="34" ht="32" customHeight="1">
      <c r="A34" s="9" t="inlineStr">
        <is>
          <t>Hold family literacy nights</t>
        </is>
      </c>
      <c r="B34" s="30" t="inlineStr">
        <is>
          <t>In</t>
        </is>
      </c>
      <c r="C34" s="9" t="inlineStr">
        <is>
          <t>Participant-facing, produces an event count, and carries the family behaviour outcome.</t>
        </is>
      </c>
      <c r="D34" s="27" t="n"/>
      <c r="E34" s="27" t="n"/>
      <c r="F34" s="27" t="n"/>
      <c r="G34" s="27" t="n"/>
      <c r="H34" s="28" t="n"/>
    </row>
    <row r="35" ht="32" customHeight="1">
      <c r="A35" s="9" t="inlineStr">
        <is>
          <t>Recruit and train volunteer tutors</t>
        </is>
      </c>
      <c r="B35" s="30" t="inlineStr">
        <is>
          <t>In</t>
        </is>
      </c>
      <c r="C35" s="9" t="inlineStr">
        <is>
          <t>Not participant-facing in itself, but it produces the trained-volunteer count that makes delivery possible, and funders expect to see it.</t>
        </is>
      </c>
      <c r="D35" s="27" t="n"/>
      <c r="E35" s="27" t="n"/>
      <c r="F35" s="27" t="n"/>
      <c r="G35" s="27" t="n"/>
      <c r="H35" s="28" t="n"/>
    </row>
    <row r="36" ht="32" customHeight="1">
      <c r="A36" s="9" t="inlineStr">
        <is>
          <t>Monthly check-ins with classroom teachers</t>
        </is>
      </c>
      <c r="B36" s="31" t="inlineStr">
        <is>
          <t>Out</t>
        </is>
      </c>
      <c r="C36" s="9" t="inlineStr">
        <is>
          <t>The idea sounded useful and produced nothing countable. Asked who would schedule the meetings and what record would come out of them, the coordinator answered nobody and none, so the activity came out of the model.</t>
        </is>
      </c>
      <c r="D36" s="27" t="n"/>
      <c r="E36" s="27" t="n"/>
      <c r="F36" s="27" t="n"/>
      <c r="G36" s="27" t="n"/>
      <c r="H36" s="28" t="n"/>
    </row>
    <row r="37" ht="32" customHeight="1">
      <c r="A37" s="9" t="inlineStr">
        <is>
          <t>Write and submit the grant application</t>
        </is>
      </c>
      <c r="B37" s="31" t="inlineStr">
        <is>
          <t>Out</t>
        </is>
      </c>
      <c r="C37" s="9" t="inlineStr">
        <is>
          <t>Project management. It happens before the award and produces no participant result.</t>
        </is>
      </c>
      <c r="D37" s="27" t="n"/>
      <c r="E37" s="27" t="n"/>
      <c r="F37" s="27" t="n"/>
      <c r="G37" s="27" t="n"/>
      <c r="H37" s="28" t="n"/>
    </row>
    <row r="38" ht="32" customHeight="1">
      <c r="A38" s="9" t="inlineStr">
        <is>
          <t>Hire the program coordinator</t>
        </is>
      </c>
      <c r="B38" s="31" t="inlineStr">
        <is>
          <t>Out</t>
        </is>
      </c>
      <c r="C38" s="9" t="inlineStr">
        <is>
          <t>Project management. Put it on the project plan with a start date.</t>
        </is>
      </c>
      <c r="D38" s="27" t="n"/>
      <c r="E38" s="27" t="n"/>
      <c r="F38" s="27" t="n"/>
      <c r="G38" s="27" t="n"/>
      <c r="H38" s="28" t="n"/>
    </row>
    <row r="39" ht="32" customHeight="1">
      <c r="A39" s="9" t="inlineStr">
        <is>
          <t>Submit interim and final reports</t>
        </is>
      </c>
      <c r="B39" s="31" t="inlineStr">
        <is>
          <t>Out</t>
        </is>
      </c>
      <c r="C39" s="9" t="inlineStr">
        <is>
          <t>Project management, and a condition of the award rather than a program activity.</t>
        </is>
      </c>
      <c r="D39" s="27" t="n"/>
      <c r="E39" s="27" t="n"/>
      <c r="F39" s="27" t="n"/>
      <c r="G39" s="27" t="n"/>
      <c r="H39" s="28" t="n"/>
    </row>
    <row r="40" ht="32" customHeight="1">
      <c r="A40" s="9" t="inlineStr">
        <is>
          <t>Convene the board's fundraising committee</t>
        </is>
      </c>
      <c r="B40" s="31" t="inlineStr">
        <is>
          <t>Out</t>
        </is>
      </c>
      <c r="C40" s="9" t="inlineStr">
        <is>
          <t>Organisational development. It belongs in a capacity-building proposal, not this column.</t>
        </is>
      </c>
      <c r="D40" s="27" t="n"/>
      <c r="E40" s="27" t="n"/>
      <c r="F40" s="27" t="n"/>
      <c r="G40" s="27" t="n"/>
      <c r="H40" s="28" t="n"/>
    </row>
    <row r="41" ht="32" customHeight="1">
      <c r="A41" s="9" t="inlineStr">
        <is>
          <t>Purchase and install the tutoring software licence</t>
        </is>
      </c>
      <c r="B41" s="31" t="inlineStr">
        <is>
          <t>Out</t>
        </is>
      </c>
      <c r="C41" s="9" t="inlineStr">
        <is>
          <t>A procurement step behind an input. Price it in the inputs column instead.</t>
        </is>
      </c>
      <c r="D41" s="27" t="n"/>
      <c r="E41" s="27" t="n"/>
      <c r="F41" s="27" t="n"/>
      <c r="G41" s="27" t="n"/>
      <c r="H41" s="28" t="n"/>
    </row>
    <row r="43">
      <c r="A43" s="15" t="inlineStr">
        <is>
          <t>GrantCue - grantcue.com/blog/logic-model-for-grant-writing</t>
        </is>
      </c>
    </row>
  </sheetData>
  <mergeCells count="20">
    <mergeCell ref="C25:H25"/>
    <mergeCell ref="C41:H41"/>
    <mergeCell ref="C22:H22"/>
    <mergeCell ref="C40:H40"/>
    <mergeCell ref="C21:H21"/>
    <mergeCell ref="C36:H36"/>
    <mergeCell ref="C27:H27"/>
    <mergeCell ref="C23:H23"/>
    <mergeCell ref="C39:H39"/>
    <mergeCell ref="C32:H32"/>
    <mergeCell ref="C38:H38"/>
    <mergeCell ref="C19:H19"/>
    <mergeCell ref="C28:H28"/>
    <mergeCell ref="C37:H37"/>
    <mergeCell ref="C34:H34"/>
    <mergeCell ref="C33:H33"/>
    <mergeCell ref="C24:H24"/>
    <mergeCell ref="C35:H35"/>
    <mergeCell ref="C26:H26"/>
    <mergeCell ref="C20:H20"/>
  </mergeCells>
  <dataValidations count="2">
    <dataValidation sqref="G7:G15" showDropDown="0" showInputMessage="0" showErrorMessage="0" allowBlank="1" type="list">
      <formula1>OutputIDs</formula1>
    </dataValidation>
    <dataValidation sqref="J7:J15" showDropDown="0" showInputMessage="0" showErrorMessage="0" allowBlank="1" type="list">
      <formula1>"Program activity,Project management - remove"</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004A7CA6"/>
    <outlinePr summaryBelow="1" summaryRight="1"/>
    <pageSetUpPr fitToPage="1"/>
  </sheetPr>
  <dimension ref="A1:M50"/>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8" customWidth="1" min="2" max="2"/>
    <col width="20" customWidth="1" min="3" max="3"/>
    <col width="20" customWidth="1" min="4" max="4"/>
    <col width="40" customWidth="1" min="5" max="5"/>
    <col width="12" customWidth="1" min="6" max="6"/>
    <col width="20" customWidth="1" min="7" max="7"/>
    <col width="12" customWidth="1" min="8" max="8"/>
    <col width="14" customWidth="1" min="9" max="9"/>
    <col width="12" customWidth="1" min="10" max="10"/>
    <col width="13" customWidth="1" min="11" max="11"/>
    <col width="13" customWidth="1" min="12" max="12"/>
    <col width="44" customWidth="1" min="13" max="13"/>
  </cols>
  <sheetData>
    <row r="1">
      <c r="A1" s="1" t="inlineStr">
        <is>
          <t>Step 5: Price the Inputs</t>
        </is>
      </c>
    </row>
    <row r="2">
      <c r="A2" s="2" t="inlineStr">
        <is>
          <t>Walk each activity back to the staff time, space, materials and partner capacity it requires. This step catches an overreaching workplan, because the inputs column has to match the budget line by line.</t>
        </is>
      </c>
    </row>
    <row r="3">
      <c r="A3" s="3" t="inlineStr">
        <is>
          <t>The request on Program Setup is not typed anywhere. It is what these rows add up to.</t>
        </is>
      </c>
    </row>
    <row r="5" ht="20" customHeight="1">
      <c r="A5" s="4" t="inlineStr">
        <is>
          <t>INPUT REGISTER</t>
        </is>
      </c>
      <c r="B5" s="5" t="n"/>
      <c r="C5" s="5" t="n"/>
      <c r="D5" s="5" t="n"/>
      <c r="E5" s="5" t="n"/>
      <c r="F5" s="5" t="n"/>
      <c r="G5" s="5" t="n"/>
      <c r="H5" s="5" t="n"/>
      <c r="I5" s="5" t="n"/>
      <c r="J5" s="5" t="n"/>
      <c r="K5" s="5" t="n"/>
      <c r="L5" s="5" t="n"/>
      <c r="M5" s="5" t="n"/>
    </row>
    <row r="6" ht="34" customHeight="1">
      <c r="A6" s="7" t="inlineStr">
        <is>
          <t>ID</t>
        </is>
      </c>
      <c r="B6" s="7" t="inlineStr">
        <is>
          <t>Input</t>
        </is>
      </c>
      <c r="C6" s="7" t="inlineStr">
        <is>
          <t>Category</t>
        </is>
      </c>
      <c r="D6" s="7" t="inlineStr">
        <is>
          <t>Supports activities</t>
        </is>
      </c>
      <c r="E6" s="7" t="inlineStr">
        <is>
          <t>Basis of estimate</t>
        </is>
      </c>
      <c r="F6" s="7" t="inlineStr">
        <is>
          <t>Quantity</t>
        </is>
      </c>
      <c r="G6" s="7" t="inlineStr">
        <is>
          <t>Unit</t>
        </is>
      </c>
      <c r="H6" s="7" t="inlineStr">
        <is>
          <t>Rate</t>
        </is>
      </c>
      <c r="I6" s="7" t="inlineStr">
        <is>
          <t>Line cost (live)</t>
        </is>
      </c>
      <c r="J6" s="7" t="inlineStr">
        <is>
          <t>Funded by</t>
        </is>
      </c>
      <c r="K6" s="7" t="inlineStr">
        <is>
          <t>Grant $ (live)</t>
        </is>
      </c>
      <c r="L6" s="7" t="inlineStr">
        <is>
          <t>In-kind $ (live)</t>
        </is>
      </c>
      <c r="M6" s="7" t="inlineStr">
        <is>
          <t>Check (live)</t>
        </is>
      </c>
    </row>
    <row r="7" ht="40" customHeight="1">
      <c r="A7" s="25" t="inlineStr">
        <is>
          <t>IN-1</t>
        </is>
      </c>
      <c r="B7" s="16" t="inlineStr">
        <is>
          <t>Part-time program coordinator, wages</t>
        </is>
      </c>
      <c r="C7" s="16" t="inlineStr">
        <is>
          <t>Personnel</t>
        </is>
      </c>
      <c r="D7" s="16" t="inlineStr">
        <is>
          <t>AC-1 through AC-5</t>
        </is>
      </c>
      <c r="E7" s="16" t="inlineStr">
        <is>
          <t>0.40 FTE for 10 months at a $42,000 annualised salary</t>
        </is>
      </c>
      <c r="F7" s="62" t="n">
        <v>10</v>
      </c>
      <c r="G7" s="16" t="inlineStr">
        <is>
          <t>months at 0.40 FTE</t>
        </is>
      </c>
      <c r="H7" s="32" t="n">
        <v>1400</v>
      </c>
      <c r="I7" s="18">
        <f>IF(OR(B7="",F7=""),"",ROUND(F7*H7,2))</f>
        <v/>
      </c>
      <c r="J7" s="16" t="inlineStr">
        <is>
          <t>Grant</t>
        </is>
      </c>
      <c r="K7" s="18">
        <f>IF($J7="Grant",$I7,0)</f>
        <v/>
      </c>
      <c r="L7" s="18">
        <f>IF($J7="In-kind",$I7,0)</f>
        <v/>
      </c>
      <c r="M7" s="24">
        <f>IF(B7="","",IF(D7="","No activity attached. An input that supports nothing is either missing from the activities column or is not part of this project.",IF(N(I7)=0,"Priced at zero. Add a rate, or take the row out.",IF(J7="","Say whether the grant, an in-kind source or another funder pays for this.",IF(J7="In-kind","In-kind. Document the basis of the value; it does not draw down the award.","Grant funded, supporting "&amp;D7&amp;".")))))</f>
        <v/>
      </c>
    </row>
    <row r="8" ht="40" customHeight="1">
      <c r="A8" s="25" t="inlineStr">
        <is>
          <t>IN-2</t>
        </is>
      </c>
      <c r="B8" s="16" t="inlineStr">
        <is>
          <t>Payroll taxes and benefits</t>
        </is>
      </c>
      <c r="C8" s="16" t="inlineStr">
        <is>
          <t>Personnel</t>
        </is>
      </c>
      <c r="D8" s="16" t="inlineStr">
        <is>
          <t>AC-1 through AC-5</t>
        </is>
      </c>
      <c r="E8" s="16" t="inlineStr">
        <is>
          <t>22 percent of coordinator wages, at the organisation's current composite rate</t>
        </is>
      </c>
      <c r="F8" s="62">
        <f>I7</f>
        <v/>
      </c>
      <c r="G8" s="16" t="inlineStr">
        <is>
          <t>of coordinator wages</t>
        </is>
      </c>
      <c r="H8" s="32" t="n">
        <v>0.22</v>
      </c>
      <c r="I8" s="18">
        <f>IF(OR(B8="",F8=""),"",ROUND(F8*H8,2))</f>
        <v/>
      </c>
      <c r="J8" s="16" t="inlineStr">
        <is>
          <t>Grant</t>
        </is>
      </c>
      <c r="K8" s="18">
        <f>IF($J8="Grant",$I8,0)</f>
        <v/>
      </c>
      <c r="L8" s="18">
        <f>IF($J8="In-kind",$I8,0)</f>
        <v/>
      </c>
      <c r="M8" s="24">
        <f>IF(B8="","",IF(D8="","No activity attached. An input that supports nothing is either missing from the activities column or is not part of this project.",IF(N(I8)=0,"Priced at zero. Add a rate, or take the row out.",IF(J8="","Say whether the grant, an in-kind source or another funder pays for this.",IF(J8="In-kind","In-kind. Document the basis of the value; it does not draw down the award.","Grant funded, supporting "&amp;D8&amp;".")))))</f>
        <v/>
      </c>
    </row>
    <row r="9" ht="40" customHeight="1">
      <c r="A9" s="25" t="inlineStr">
        <is>
          <t>IN-3</t>
        </is>
      </c>
      <c r="B9" s="16" t="inlineStr">
        <is>
          <t>Student workbooks and decodable readers</t>
        </is>
      </c>
      <c r="C9" s="16" t="inlineStr">
        <is>
          <t>Materials</t>
        </is>
      </c>
      <c r="D9" s="16" t="inlineStr">
        <is>
          <t>AC-3</t>
        </is>
      </c>
      <c r="E9" s="16" t="inlineStr">
        <is>
          <t>One consumable set per enrolled student</t>
        </is>
      </c>
      <c r="F9" s="62">
        <f>'Program Setup'!B16</f>
        <v/>
      </c>
      <c r="G9" s="16" t="inlineStr">
        <is>
          <t>students</t>
        </is>
      </c>
      <c r="H9" s="32" t="n">
        <v>32</v>
      </c>
      <c r="I9" s="18">
        <f>IF(OR(B9="",F9=""),"",ROUND(F9*H9,2))</f>
        <v/>
      </c>
      <c r="J9" s="16" t="inlineStr">
        <is>
          <t>Grant</t>
        </is>
      </c>
      <c r="K9" s="18">
        <f>IF($J9="Grant",$I9,0)</f>
        <v/>
      </c>
      <c r="L9" s="18">
        <f>IF($J9="In-kind",$I9,0)</f>
        <v/>
      </c>
      <c r="M9" s="24">
        <f>IF(B9="","",IF(D9="","No activity attached. An input that supports nothing is either missing from the activities column or is not part of this project.",IF(N(I9)=0,"Priced at zero. Add a rate, or take the row out.",IF(J9="","Say whether the grant, an in-kind source or another funder pays for this.",IF(J9="In-kind","In-kind. Document the basis of the value; it does not draw down the award.","Grant funded, supporting "&amp;D9&amp;".")))))</f>
        <v/>
      </c>
    </row>
    <row r="10" ht="40" customHeight="1">
      <c r="A10" s="25" t="inlineStr">
        <is>
          <t>IN-4</t>
        </is>
      </c>
      <c r="B10" s="16" t="inlineStr">
        <is>
          <t>Reading assessment licences</t>
        </is>
      </c>
      <c r="C10" s="16" t="inlineStr">
        <is>
          <t>Materials</t>
        </is>
      </c>
      <c r="D10" s="16" t="inlineStr">
        <is>
          <t>AC-4</t>
        </is>
      </c>
      <c r="E10" s="16" t="inlineStr">
        <is>
          <t>Per administration, fall and spring</t>
        </is>
      </c>
      <c r="F10" s="62">
        <f>'Program Setup'!B30</f>
        <v/>
      </c>
      <c r="G10" s="16" t="inlineStr">
        <is>
          <t>administrations</t>
        </is>
      </c>
      <c r="H10" s="32" t="n">
        <v>5</v>
      </c>
      <c r="I10" s="18">
        <f>IF(OR(B10="",F10=""),"",ROUND(F10*H10,2))</f>
        <v/>
      </c>
      <c r="J10" s="16" t="inlineStr">
        <is>
          <t>Grant</t>
        </is>
      </c>
      <c r="K10" s="18">
        <f>IF($J10="Grant",$I10,0)</f>
        <v/>
      </c>
      <c r="L10" s="18">
        <f>IF($J10="In-kind",$I10,0)</f>
        <v/>
      </c>
      <c r="M10" s="24">
        <f>IF(B10="","",IF(D10="","No activity attached. An input that supports nothing is either missing from the activities column or is not part of this project.",IF(N(I10)=0,"Priced at zero. Add a rate, or take the row out.",IF(J10="","Say whether the grant, an in-kind source or another funder pays for this.",IF(J10="In-kind","In-kind. Document the basis of the value; it does not draw down the award.","Grant funded, supporting "&amp;D10&amp;".")))))</f>
        <v/>
      </c>
    </row>
    <row r="11" ht="40" customHeight="1">
      <c r="A11" s="25" t="inlineStr">
        <is>
          <t>IN-5</t>
        </is>
      </c>
      <c r="B11" s="16" t="inlineStr">
        <is>
          <t>Volunteer background checks</t>
        </is>
      </c>
      <c r="C11" s="16" t="inlineStr">
        <is>
          <t>Volunteers</t>
        </is>
      </c>
      <c r="D11" s="16" t="inlineStr">
        <is>
          <t>AC-2</t>
        </is>
      </c>
      <c r="E11" s="16" t="inlineStr">
        <is>
          <t>State criminal record check per volunteer</t>
        </is>
      </c>
      <c r="F11" s="62">
        <f>'Program Setup'!B17</f>
        <v/>
      </c>
      <c r="G11" s="16" t="inlineStr">
        <is>
          <t>volunteers</t>
        </is>
      </c>
      <c r="H11" s="32" t="n">
        <v>25</v>
      </c>
      <c r="I11" s="18">
        <f>IF(OR(B11="",F11=""),"",ROUND(F11*H11,2))</f>
        <v/>
      </c>
      <c r="J11" s="16" t="inlineStr">
        <is>
          <t>Grant</t>
        </is>
      </c>
      <c r="K11" s="18">
        <f>IF($J11="Grant",$I11,0)</f>
        <v/>
      </c>
      <c r="L11" s="18">
        <f>IF($J11="In-kind",$I11,0)</f>
        <v/>
      </c>
      <c r="M11" s="24">
        <f>IF(B11="","",IF(D11="","No activity attached. An input that supports nothing is either missing from the activities column or is not part of this project.",IF(N(I11)=0,"Priced at zero. Add a rate, or take the row out.",IF(J11="","Say whether the grant, an in-kind source or another funder pays for this.",IF(J11="In-kind","In-kind. Document the basis of the value; it does not draw down the award.","Grant funded, supporting "&amp;D11&amp;".")))))</f>
        <v/>
      </c>
    </row>
    <row r="12" ht="40" customHeight="1">
      <c r="A12" s="25" t="inlineStr">
        <is>
          <t>IN-6</t>
        </is>
      </c>
      <c r="B12" s="16" t="inlineStr">
        <is>
          <t>Volunteer training materials and tutor guides</t>
        </is>
      </c>
      <c r="C12" s="16" t="inlineStr">
        <is>
          <t>Volunteers</t>
        </is>
      </c>
      <c r="D12" s="16" t="inlineStr">
        <is>
          <t>AC-2</t>
        </is>
      </c>
      <c r="E12" s="16" t="inlineStr">
        <is>
          <t>One training pack per volunteer</t>
        </is>
      </c>
      <c r="F12" s="62">
        <f>'Program Setup'!B17</f>
        <v/>
      </c>
      <c r="G12" s="16" t="inlineStr">
        <is>
          <t>volunteers</t>
        </is>
      </c>
      <c r="H12" s="32" t="n">
        <v>18</v>
      </c>
      <c r="I12" s="18">
        <f>IF(OR(B12="",F12=""),"",ROUND(F12*H12,2))</f>
        <v/>
      </c>
      <c r="J12" s="16" t="inlineStr">
        <is>
          <t>Grant</t>
        </is>
      </c>
      <c r="K12" s="18">
        <f>IF($J12="Grant",$I12,0)</f>
        <v/>
      </c>
      <c r="L12" s="18">
        <f>IF($J12="In-kind",$I12,0)</f>
        <v/>
      </c>
      <c r="M12" s="24">
        <f>IF(B12="","",IF(D12="","No activity attached. An input that supports nothing is either missing from the activities column or is not part of this project.",IF(N(I12)=0,"Priced at zero. Add a rate, or take the row out.",IF(J12="","Say whether the grant, an in-kind source or another funder pays for this.",IF(J12="In-kind","In-kind. Document the basis of the value; it does not draw down the award.","Grant funded, supporting "&amp;D12&amp;".")))))</f>
        <v/>
      </c>
    </row>
    <row r="13" ht="40" customHeight="1">
      <c r="A13" s="25" t="inlineStr">
        <is>
          <t>IN-7</t>
        </is>
      </c>
      <c r="B13" s="16" t="inlineStr">
        <is>
          <t>Family literacy night supplies and refreshments</t>
        </is>
      </c>
      <c r="C13" s="16" t="inlineStr">
        <is>
          <t>Materials</t>
        </is>
      </c>
      <c r="D13" s="16" t="inlineStr">
        <is>
          <t>AC-5</t>
        </is>
      </c>
      <c r="E13" s="16" t="inlineStr">
        <is>
          <t>Per event, 40 attendees at the school</t>
        </is>
      </c>
      <c r="F13" s="62">
        <f>'Program Setup'!B19</f>
        <v/>
      </c>
      <c r="G13" s="16" t="inlineStr">
        <is>
          <t>events</t>
        </is>
      </c>
      <c r="H13" s="32" t="n">
        <v>350</v>
      </c>
      <c r="I13" s="18">
        <f>IF(OR(B13="",F13=""),"",ROUND(F13*H13,2))</f>
        <v/>
      </c>
      <c r="J13" s="16" t="inlineStr">
        <is>
          <t>Grant</t>
        </is>
      </c>
      <c r="K13" s="18">
        <f>IF($J13="Grant",$I13,0)</f>
        <v/>
      </c>
      <c r="L13" s="18">
        <f>IF($J13="In-kind",$I13,0)</f>
        <v/>
      </c>
      <c r="M13" s="24">
        <f>IF(B13="","",IF(D13="","No activity attached. An input that supports nothing is either missing from the activities column or is not part of this project.",IF(N(I13)=0,"Priced at zero. Add a rate, or take the row out.",IF(J13="","Say whether the grant, an in-kind source or another funder pays for this.",IF(J13="In-kind","In-kind. Document the basis of the value; it does not draw down the award.","Grant funded, supporting "&amp;D13&amp;".")))))</f>
        <v/>
      </c>
    </row>
    <row r="14" ht="40" customHeight="1">
      <c r="A14" s="25" t="inlineStr">
        <is>
          <t>IN-8</t>
        </is>
      </c>
      <c r="B14" s="16" t="inlineStr">
        <is>
          <t>Weekly session supplies, printing and copying</t>
        </is>
      </c>
      <c r="C14" s="16" t="inlineStr">
        <is>
          <t>Materials</t>
        </is>
      </c>
      <c r="D14" s="16" t="inlineStr">
        <is>
          <t>AC-3</t>
        </is>
      </c>
      <c r="E14" s="16" t="inlineStr">
        <is>
          <t>Per program week across the term</t>
        </is>
      </c>
      <c r="F14" s="62">
        <f>'Program Setup'!B13</f>
        <v/>
      </c>
      <c r="G14" s="16" t="inlineStr">
        <is>
          <t>program weeks</t>
        </is>
      </c>
      <c r="H14" s="32" t="n">
        <v>45</v>
      </c>
      <c r="I14" s="18">
        <f>IF(OR(B14="",F14=""),"",ROUND(F14*H14,2))</f>
        <v/>
      </c>
      <c r="J14" s="16" t="inlineStr">
        <is>
          <t>Grant</t>
        </is>
      </c>
      <c r="K14" s="18">
        <f>IF($J14="Grant",$I14,0)</f>
        <v/>
      </c>
      <c r="L14" s="18">
        <f>IF($J14="In-kind",$I14,0)</f>
        <v/>
      </c>
      <c r="M14" s="24">
        <f>IF(B14="","",IF(D14="","No activity attached. An input that supports nothing is either missing from the activities column or is not part of this project.",IF(N(I14)=0,"Priced at zero. Add a rate, or take the row out.",IF(J14="","Say whether the grant, an in-kind source or another funder pays for this.",IF(J14="In-kind","In-kind. Document the basis of the value; it does not draw down the award.","Grant funded, supporting "&amp;D14&amp;".")))))</f>
        <v/>
      </c>
    </row>
    <row r="15" ht="40" customHeight="1">
      <c r="A15" s="25" t="inlineStr">
        <is>
          <t>IN-9</t>
        </is>
      </c>
      <c r="B15" s="16" t="inlineStr">
        <is>
          <t>Coordinator mileage to the partner school</t>
        </is>
      </c>
      <c r="C15" s="16" t="inlineStr">
        <is>
          <t>Travel</t>
        </is>
      </c>
      <c r="D15" s="16" t="inlineStr">
        <is>
          <t>AC-3</t>
        </is>
      </c>
      <c r="E15" s="16" t="inlineStr">
        <is>
          <t>13 miles round trip per session at the organisation's reimbursement rate</t>
        </is>
      </c>
      <c r="F15" s="62">
        <f>ROUND('Program Setup'!B27*13,0)</f>
        <v/>
      </c>
      <c r="G15" s="16" t="inlineStr">
        <is>
          <t>miles</t>
        </is>
      </c>
      <c r="H15" s="32" t="n">
        <v>0.71</v>
      </c>
      <c r="I15" s="18">
        <f>IF(OR(B15="",F15=""),"",ROUND(F15*H15,2))</f>
        <v/>
      </c>
      <c r="J15" s="16" t="inlineStr">
        <is>
          <t>Grant</t>
        </is>
      </c>
      <c r="K15" s="18">
        <f>IF($J15="Grant",$I15,0)</f>
        <v/>
      </c>
      <c r="L15" s="18">
        <f>IF($J15="In-kind",$I15,0)</f>
        <v/>
      </c>
      <c r="M15" s="24">
        <f>IF(B15="","",IF(D15="","No activity attached. An input that supports nothing is either missing from the activities column or is not part of this project.",IF(N(I15)=0,"Priced at zero. Add a rate, or take the row out.",IF(J15="","Say whether the grant, an in-kind source or another funder pays for this.",IF(J15="In-kind","In-kind. Document the basis of the value; it does not draw down the award.","Grant funded, supporting "&amp;D15&amp;".")))))</f>
        <v/>
      </c>
    </row>
    <row r="16" ht="40" customHeight="1">
      <c r="A16" s="25" t="inlineStr">
        <is>
          <t>IN-10</t>
        </is>
      </c>
      <c r="B16" s="16" t="inlineStr">
        <is>
          <t>Evaluation consultant, spring data analysis</t>
        </is>
      </c>
      <c r="C16" s="16" t="inlineStr">
        <is>
          <t>Contracted services</t>
        </is>
      </c>
      <c r="D16" s="16" t="inlineStr">
        <is>
          <t>AC-4</t>
        </is>
      </c>
      <c r="E16" s="16" t="inlineStr">
        <is>
          <t>Two days of analysis and a written results memo</t>
        </is>
      </c>
      <c r="F16" s="62" t="n">
        <v>16</v>
      </c>
      <c r="G16" s="16" t="inlineStr">
        <is>
          <t>hours</t>
        </is>
      </c>
      <c r="H16" s="32" t="n">
        <v>85</v>
      </c>
      <c r="I16" s="18">
        <f>IF(OR(B16="",F16=""),"",ROUND(F16*H16,2))</f>
        <v/>
      </c>
      <c r="J16" s="16" t="inlineStr">
        <is>
          <t>Grant</t>
        </is>
      </c>
      <c r="K16" s="18">
        <f>IF($J16="Grant",$I16,0)</f>
        <v/>
      </c>
      <c r="L16" s="18">
        <f>IF($J16="In-kind",$I16,0)</f>
        <v/>
      </c>
      <c r="M16" s="24">
        <f>IF(B16="","",IF(D16="","No activity attached. An input that supports nothing is either missing from the activities column or is not part of this project.",IF(N(I16)=0,"Priced at zero. Add a rate, or take the row out.",IF(J16="","Say whether the grant, an in-kind source or another funder pays for this.",IF(J16="In-kind","In-kind. Document the basis of the value; it does not draw down the award.","Grant funded, supporting "&amp;D16&amp;".")))))</f>
        <v/>
      </c>
    </row>
    <row r="17" ht="40" customHeight="1">
      <c r="A17" s="25" t="inlineStr">
        <is>
          <t>IN-11</t>
        </is>
      </c>
      <c r="B17" s="16" t="inlineStr">
        <is>
          <t>Donated classroom space, two afternoons a week</t>
        </is>
      </c>
      <c r="C17" s="16" t="inlineStr">
        <is>
          <t>Space</t>
        </is>
      </c>
      <c r="D17" s="16" t="inlineStr">
        <is>
          <t>AC-3</t>
        </is>
      </c>
      <c r="E17" s="16" t="inlineStr">
        <is>
          <t>Three hours per session at the district's $25 community-use rate</t>
        </is>
      </c>
      <c r="F17" s="62">
        <f>ROUND('Program Setup'!B27*3,0)</f>
        <v/>
      </c>
      <c r="G17" s="16" t="inlineStr">
        <is>
          <t>room hours</t>
        </is>
      </c>
      <c r="H17" s="32" t="n">
        <v>25</v>
      </c>
      <c r="I17" s="18">
        <f>IF(OR(B17="",F17=""),"",ROUND(F17*H17,2))</f>
        <v/>
      </c>
      <c r="J17" s="16" t="inlineStr">
        <is>
          <t>In-kind</t>
        </is>
      </c>
      <c r="K17" s="18">
        <f>IF($J17="Grant",$I17,0)</f>
        <v/>
      </c>
      <c r="L17" s="18">
        <f>IF($J17="In-kind",$I17,0)</f>
        <v/>
      </c>
      <c r="M17" s="24">
        <f>IF(B17="","",IF(D17="","No activity attached. An input that supports nothing is either missing from the activities column or is not part of this project.",IF(N(I17)=0,"Priced at zero. Add a rate, or take the row out.",IF(J17="","Say whether the grant, an in-kind source or another funder pays for this.",IF(J17="In-kind","In-kind. Document the basis of the value; it does not draw down the award.","Grant funded, supporting "&amp;D17&amp;".")))))</f>
        <v/>
      </c>
    </row>
    <row r="18" ht="40" customHeight="1">
      <c r="A18" s="25" t="inlineStr">
        <is>
          <t>IN-12</t>
        </is>
      </c>
      <c r="B18" s="16" t="inlineStr">
        <is>
          <t>Volunteer tutor time</t>
        </is>
      </c>
      <c r="C18" s="16" t="inlineStr">
        <is>
          <t>Volunteers</t>
        </is>
      </c>
      <c r="D18" s="16" t="inlineStr">
        <is>
          <t>AC-3</t>
        </is>
      </c>
      <c r="E18" s="16" t="inlineStr">
        <is>
          <t>Six tutors per session at 1.5 hours, valued at the organisation's documented volunteer rate</t>
        </is>
      </c>
      <c r="F18" s="62">
        <f>ROUND('Program Setup'!B27*6*1.5,0)</f>
        <v/>
      </c>
      <c r="G18" s="16" t="inlineStr">
        <is>
          <t>volunteer hours</t>
        </is>
      </c>
      <c r="H18" s="32" t="n">
        <v>25</v>
      </c>
      <c r="I18" s="18">
        <f>IF(OR(B18="",F18=""),"",ROUND(F18*H18,2))</f>
        <v/>
      </c>
      <c r="J18" s="16" t="inlineStr">
        <is>
          <t>In-kind</t>
        </is>
      </c>
      <c r="K18" s="18">
        <f>IF($J18="Grant",$I18,0)</f>
        <v/>
      </c>
      <c r="L18" s="18">
        <f>IF($J18="In-kind",$I18,0)</f>
        <v/>
      </c>
      <c r="M18" s="24">
        <f>IF(B18="","",IF(D18="","No activity attached. An input that supports nothing is either missing from the activities column or is not part of this project.",IF(N(I18)=0,"Priced at zero. Add a rate, or take the row out.",IF(J18="","Say whether the grant, an in-kind source or another funder pays for this.",IF(J18="In-kind","In-kind. Document the basis of the value; it does not draw down the award.","Grant funded, supporting "&amp;D18&amp;".")))))</f>
        <v/>
      </c>
    </row>
    <row r="19" ht="40" customHeight="1">
      <c r="A19" s="25" t="inlineStr">
        <is>
          <t>IN-13</t>
        </is>
      </c>
      <c r="B19" s="16" t="inlineStr">
        <is>
          <t>Existing phonics curriculum, already licensed</t>
        </is>
      </c>
      <c r="C19" s="16" t="inlineStr">
        <is>
          <t>Materials</t>
        </is>
      </c>
      <c r="D19" s="16" t="inlineStr">
        <is>
          <t>AC-3</t>
        </is>
      </c>
      <c r="E19" s="16" t="inlineStr">
        <is>
          <t>Annual site licence the organisation already holds</t>
        </is>
      </c>
      <c r="F19" s="62" t="n">
        <v>1</v>
      </c>
      <c r="G19" s="16" t="inlineStr">
        <is>
          <t>site licence</t>
        </is>
      </c>
      <c r="H19" s="32" t="n">
        <v>1200</v>
      </c>
      <c r="I19" s="18">
        <f>IF(OR(B19="",F19=""),"",ROUND(F19*H19,2))</f>
        <v/>
      </c>
      <c r="J19" s="16" t="inlineStr">
        <is>
          <t>In-kind</t>
        </is>
      </c>
      <c r="K19" s="18">
        <f>IF($J19="Grant",$I19,0)</f>
        <v/>
      </c>
      <c r="L19" s="18">
        <f>IF($J19="In-kind",$I19,0)</f>
        <v/>
      </c>
      <c r="M19" s="24">
        <f>IF(B19="","",IF(D19="","No activity attached. An input that supports nothing is either missing from the activities column or is not part of this project.",IF(N(I19)=0,"Priced at zero. Add a rate, or take the row out.",IF(J19="","Say whether the grant, an in-kind source or another funder pays for this.",IF(J19="In-kind","In-kind. Document the basis of the value; it does not draw down the award.","Grant funded, supporting "&amp;D19&amp;".")))))</f>
        <v/>
      </c>
    </row>
    <row r="20" ht="40" customHeight="1">
      <c r="A20" s="25" t="inlineStr">
        <is>
          <t>IN-14</t>
        </is>
      </c>
      <c r="B20" s="16" t="n"/>
      <c r="C20" s="16" t="n"/>
      <c r="D20" s="16" t="n"/>
      <c r="E20" s="16" t="n"/>
      <c r="F20" s="62" t="n"/>
      <c r="G20" s="16" t="n"/>
      <c r="H20" s="32" t="n"/>
      <c r="I20" s="18">
        <f>IF(OR(B20="",F20=""),"",ROUND(F20*H20,2))</f>
        <v/>
      </c>
      <c r="J20" s="16" t="n"/>
      <c r="K20" s="18">
        <f>IF($J20="Grant",$I20,0)</f>
        <v/>
      </c>
      <c r="L20" s="18">
        <f>IF($J20="In-kind",$I20,0)</f>
        <v/>
      </c>
      <c r="M20" s="24">
        <f>IF(B20="","",IF(D20="","No activity attached. An input that supports nothing is either missing from the activities column or is not part of this project.",IF(N(I20)=0,"Priced at zero. Add a rate, or take the row out.",IF(J20="","Say whether the grant, an in-kind source or another funder pays for this.",IF(J20="In-kind","In-kind. Document the basis of the value; it does not draw down the award.","Grant funded, supporting "&amp;D20&amp;".")))))</f>
        <v/>
      </c>
    </row>
    <row r="21" ht="40" customHeight="1">
      <c r="A21" s="25" t="inlineStr">
        <is>
          <t>IN-15</t>
        </is>
      </c>
      <c r="B21" s="16" t="n"/>
      <c r="C21" s="16" t="n"/>
      <c r="D21" s="16" t="n"/>
      <c r="E21" s="16" t="n"/>
      <c r="F21" s="62" t="n"/>
      <c r="G21" s="16" t="n"/>
      <c r="H21" s="32" t="n"/>
      <c r="I21" s="18">
        <f>IF(OR(B21="",F21=""),"",ROUND(F21*H21,2))</f>
        <v/>
      </c>
      <c r="J21" s="16" t="n"/>
      <c r="K21" s="18">
        <f>IF($J21="Grant",$I21,0)</f>
        <v/>
      </c>
      <c r="L21" s="18">
        <f>IF($J21="In-kind",$I21,0)</f>
        <v/>
      </c>
      <c r="M21" s="24">
        <f>IF(B21="","",IF(D21="","No activity attached. An input that supports nothing is either missing from the activities column or is not part of this project.",IF(N(I21)=0,"Priced at zero. Add a rate, or take the row out.",IF(J21="","Say whether the grant, an in-kind source or another funder pays for this.",IF(J21="In-kind","In-kind. Document the basis of the value; it does not draw down the award.","Grant funded, supporting "&amp;D21&amp;".")))))</f>
        <v/>
      </c>
    </row>
    <row r="22" ht="40" customHeight="1">
      <c r="A22" s="25" t="inlineStr">
        <is>
          <t>IN-16</t>
        </is>
      </c>
      <c r="B22" s="16" t="n"/>
      <c r="C22" s="16" t="n"/>
      <c r="D22" s="16" t="n"/>
      <c r="E22" s="16" t="n"/>
      <c r="F22" s="62" t="n"/>
      <c r="G22" s="16" t="n"/>
      <c r="H22" s="32" t="n"/>
      <c r="I22" s="18">
        <f>IF(OR(B22="",F22=""),"",ROUND(F22*H22,2))</f>
        <v/>
      </c>
      <c r="J22" s="16" t="n"/>
      <c r="K22" s="18">
        <f>IF($J22="Grant",$I22,0)</f>
        <v/>
      </c>
      <c r="L22" s="18">
        <f>IF($J22="In-kind",$I22,0)</f>
        <v/>
      </c>
      <c r="M22" s="24">
        <f>IF(B22="","",IF(D22="","No activity attached. An input that supports nothing is either missing from the activities column or is not part of this project.",IF(N(I22)=0,"Priced at zero. Add a rate, or take the row out.",IF(J22="","Say whether the grant, an in-kind source or another funder pays for this.",IF(J22="In-kind","In-kind. Document the basis of the value; it does not draw down the award.","Grant funded, supporting "&amp;D22&amp;".")))))</f>
        <v/>
      </c>
    </row>
    <row r="23" ht="20" customHeight="1">
      <c r="A23" s="4" t="inlineStr">
        <is>
          <t>BUDGET ROLL-UP: live</t>
        </is>
      </c>
      <c r="B23" s="5" t="n"/>
      <c r="C23" s="5" t="n"/>
      <c r="D23" s="5" t="n"/>
      <c r="E23" s="5" t="n"/>
      <c r="F23" s="5" t="n"/>
      <c r="G23" s="5" t="n"/>
      <c r="H23" s="5" t="n"/>
      <c r="I23" s="5" t="n"/>
      <c r="J23" s="5" t="n"/>
      <c r="K23" s="5" t="n"/>
      <c r="L23" s="5" t="n"/>
      <c r="M23" s="5" t="n"/>
    </row>
    <row r="24" ht="28" customHeight="1">
      <c r="B24" s="8" t="inlineStr">
        <is>
          <t>Direct costs, grant funded</t>
        </is>
      </c>
      <c r="I24" s="18">
        <f>SUMIF($J$7:$J$22,"Grant",$I$7:$I$22)</f>
        <v/>
      </c>
      <c r="M24" s="26" t="inlineStr">
        <is>
          <t>Every grant-funded row above.</t>
        </is>
      </c>
    </row>
    <row r="25" ht="28" customHeight="1">
      <c r="B25" s="8" t="inlineStr">
        <is>
          <t>Administrative cost allocation</t>
        </is>
      </c>
      <c r="F25" s="18">
        <f>I24</f>
        <v/>
      </c>
      <c r="H25" s="33" t="n">
        <v>0.1</v>
      </c>
      <c r="I25" s="18">
        <f>ROUND(F25*H25,2)</f>
        <v/>
      </c>
      <c r="M25" s="26" t="inlineStr">
        <is>
          <t>Ten percent of direct costs. Replace the rate with your funder's cap or your negotiated rate.</t>
        </is>
      </c>
    </row>
    <row r="26" ht="28" customHeight="1">
      <c r="B26" s="8" t="inlineStr">
        <is>
          <t>TOTAL GRANT REQUEST</t>
        </is>
      </c>
      <c r="I26" s="34">
        <f>I24+I25</f>
        <v/>
      </c>
      <c r="M26" s="26" t="inlineStr">
        <is>
          <t>This is the figure Program Setup reads back. Add a line above and it moves.</t>
        </is>
      </c>
    </row>
    <row r="27" ht="28" customHeight="1">
      <c r="B27" s="8" t="inlineStr">
        <is>
          <t>In-kind and donated inputs</t>
        </is>
      </c>
      <c r="I27" s="18">
        <f>SUMIF($J$7:$J$22,"In-kind",$I$7:$I$22)</f>
        <v/>
      </c>
      <c r="M27" s="26" t="inlineStr">
        <is>
          <t>Documented value, not cash. Reviewers read it as evidence of local commitment.</t>
        </is>
      </c>
    </row>
    <row r="28" ht="28" customHeight="1">
      <c r="B28" s="8" t="inlineStr">
        <is>
          <t>TOTAL PROJECT VALUE</t>
        </is>
      </c>
      <c r="I28" s="34">
        <f>I26+I27</f>
        <v/>
      </c>
      <c r="M28" s="26" t="inlineStr">
        <is>
          <t>What the program is actually worth to run.</t>
        </is>
      </c>
    </row>
    <row r="29" ht="28" customHeight="1">
      <c r="B29" s="8" t="inlineStr">
        <is>
          <t>In-kind share of total project value</t>
        </is>
      </c>
      <c r="I29" s="65">
        <f>IFERROR(I27/I28,"")</f>
        <v/>
      </c>
      <c r="M29" s="26" t="inlineStr">
        <is>
          <t>A high share is a strength, and a risk you must name in the assumptions.</t>
        </is>
      </c>
    </row>
    <row r="30" ht="28" customHeight="1">
      <c r="B30" s="8" t="inlineStr">
        <is>
          <t>Grant cost per participant served</t>
        </is>
      </c>
      <c r="I30" s="18">
        <f>IFERROR(ROUND(I26/'Program Setup'!B16,2),"")</f>
        <v/>
      </c>
      <c r="M30" s="26" t="inlineStr">
        <is>
          <t>Compare with what similar programs in your field cost.</t>
        </is>
      </c>
    </row>
    <row r="31" ht="28" customHeight="1">
      <c r="B31" s="8" t="inlineStr">
        <is>
          <t>Grant cost per tutoring session</t>
        </is>
      </c>
      <c r="I31" s="18">
        <f>IFERROR(ROUND(I26/'Program Setup'!B27,2),"")</f>
        <v/>
      </c>
      <c r="M31" s="26" t="inlineStr">
        <is>
          <t>The unit cost a program officer will ask about.</t>
        </is>
      </c>
    </row>
    <row r="32">
      <c r="B32" s="8" t="inlineStr">
        <is>
          <t>Request against the funder's ceiling</t>
        </is>
      </c>
      <c r="I32" s="24">
        <f>IF(I26&gt;'Program Setup'!B9,"OVER by "&amp;TEXT(I26-'Program Setup'!B9,"$#,##0.00"),"Within, "&amp;TEXT('Program Setup'!B9-I26,"$#,##0.00")&amp;" headroom")</f>
        <v/>
      </c>
      <c r="M32" s="26" t="inlineStr">
        <is>
          <t>Reads the ceiling straight off Program Setup.</t>
        </is>
      </c>
    </row>
    <row r="34" ht="20" customHeight="1">
      <c r="A34" s="4" t="inlineStr">
        <is>
          <t>COST BY CATEGORY: live</t>
        </is>
      </c>
      <c r="B34" s="5" t="n"/>
      <c r="C34" s="5" t="n"/>
      <c r="D34" s="5" t="n"/>
      <c r="E34" s="5" t="n"/>
      <c r="F34" s="5" t="n"/>
      <c r="G34" s="5" t="n"/>
      <c r="H34" s="5" t="n"/>
      <c r="I34" s="5" t="n"/>
      <c r="J34" s="5" t="n"/>
      <c r="K34" s="5" t="n"/>
      <c r="L34" s="5" t="n"/>
      <c r="M34" s="5" t="n"/>
    </row>
    <row r="35" ht="20" customHeight="1">
      <c r="A35" s="7" t="inlineStr"/>
      <c r="B35" s="7" t="inlineStr">
        <is>
          <t>Category</t>
        </is>
      </c>
      <c r="C35" s="7" t="inlineStr"/>
      <c r="D35" s="7" t="inlineStr"/>
      <c r="E35" s="7" t="inlineStr"/>
      <c r="F35" s="7" t="inlineStr"/>
      <c r="G35" s="7" t="inlineStr"/>
      <c r="H35" s="7" t="inlineStr"/>
      <c r="I35" s="7" t="inlineStr">
        <is>
          <t>Grant $</t>
        </is>
      </c>
      <c r="J35" s="7" t="inlineStr"/>
      <c r="K35" s="7" t="inlineStr">
        <is>
          <t>Share of request</t>
        </is>
      </c>
      <c r="L35" s="7" t="inlineStr"/>
      <c r="M35" s="7" t="inlineStr">
        <is>
          <t>In-kind $</t>
        </is>
      </c>
    </row>
    <row r="36">
      <c r="B36" s="8" t="inlineStr">
        <is>
          <t>Personnel</t>
        </is>
      </c>
      <c r="I36" s="18">
        <f>SUMIFS($I$7:$I$22,$C$7:$C$22,B36,$J$7:$J$22,"Grant")</f>
        <v/>
      </c>
      <c r="K36" s="65">
        <f>IFERROR(I36/$I$24,"")</f>
        <v/>
      </c>
      <c r="M36" s="18">
        <f>SUMIFS($I$7:$I$22,$C$7:$C$22,B36,$J$7:$J$22,"In-kind")</f>
        <v/>
      </c>
    </row>
    <row r="37">
      <c r="B37" s="8" t="inlineStr">
        <is>
          <t>Materials</t>
        </is>
      </c>
      <c r="I37" s="18">
        <f>SUMIFS($I$7:$I$22,$C$7:$C$22,B37,$J$7:$J$22,"Grant")</f>
        <v/>
      </c>
      <c r="K37" s="65">
        <f>IFERROR(I37/$I$24,"")</f>
        <v/>
      </c>
      <c r="M37" s="18">
        <f>SUMIFS($I$7:$I$22,$C$7:$C$22,B37,$J$7:$J$22,"In-kind")</f>
        <v/>
      </c>
    </row>
    <row r="38">
      <c r="B38" s="8" t="inlineStr">
        <is>
          <t>Space</t>
        </is>
      </c>
      <c r="I38" s="18">
        <f>SUMIFS($I$7:$I$22,$C$7:$C$22,B38,$J$7:$J$22,"Grant")</f>
        <v/>
      </c>
      <c r="K38" s="65">
        <f>IFERROR(I38/$I$24,"")</f>
        <v/>
      </c>
      <c r="M38" s="18">
        <f>SUMIFS($I$7:$I$22,$C$7:$C$22,B38,$J$7:$J$22,"In-kind")</f>
        <v/>
      </c>
    </row>
    <row r="39">
      <c r="B39" s="8" t="inlineStr">
        <is>
          <t>Volunteers</t>
        </is>
      </c>
      <c r="I39" s="18">
        <f>SUMIFS($I$7:$I$22,$C$7:$C$22,B39,$J$7:$J$22,"Grant")</f>
        <v/>
      </c>
      <c r="K39" s="65">
        <f>IFERROR(I39/$I$24,"")</f>
        <v/>
      </c>
      <c r="M39" s="18">
        <f>SUMIFS($I$7:$I$22,$C$7:$C$22,B39,$J$7:$J$22,"In-kind")</f>
        <v/>
      </c>
    </row>
    <row r="40">
      <c r="B40" s="8" t="inlineStr">
        <is>
          <t>Travel</t>
        </is>
      </c>
      <c r="I40" s="18">
        <f>SUMIFS($I$7:$I$22,$C$7:$C$22,B40,$J$7:$J$22,"Grant")</f>
        <v/>
      </c>
      <c r="K40" s="65">
        <f>IFERROR(I40/$I$24,"")</f>
        <v/>
      </c>
      <c r="M40" s="18">
        <f>SUMIFS($I$7:$I$22,$C$7:$C$22,B40,$J$7:$J$22,"In-kind")</f>
        <v/>
      </c>
    </row>
    <row r="41">
      <c r="B41" s="8" t="inlineStr">
        <is>
          <t>Contracted services</t>
        </is>
      </c>
      <c r="I41" s="18">
        <f>SUMIFS($I$7:$I$22,$C$7:$C$22,B41,$J$7:$J$22,"Grant")</f>
        <v/>
      </c>
      <c r="K41" s="65">
        <f>IFERROR(I41/$I$24,"")</f>
        <v/>
      </c>
      <c r="M41" s="18">
        <f>SUMIFS($I$7:$I$22,$C$7:$C$22,B41,$J$7:$J$22,"In-kind")</f>
        <v/>
      </c>
    </row>
    <row r="42">
      <c r="B42" s="8" t="inlineStr">
        <is>
          <t>Equipment</t>
        </is>
      </c>
      <c r="I42" s="18">
        <f>SUMIFS($I$7:$I$22,$C$7:$C$22,B42,$J$7:$J$22,"Grant")</f>
        <v/>
      </c>
      <c r="K42" s="65">
        <f>IFERROR(I42/$I$24,"")</f>
        <v/>
      </c>
      <c r="M42" s="18">
        <f>SUMIFS($I$7:$I$22,$C$7:$C$22,B42,$J$7:$J$22,"In-kind")</f>
        <v/>
      </c>
    </row>
    <row r="43">
      <c r="B43" s="8" t="inlineStr">
        <is>
          <t>Partner capacity</t>
        </is>
      </c>
      <c r="I43" s="18">
        <f>SUMIFS($I$7:$I$22,$C$7:$C$22,B43,$J$7:$J$22,"Grant")</f>
        <v/>
      </c>
      <c r="K43" s="65">
        <f>IFERROR(I43/$I$24,"")</f>
        <v/>
      </c>
      <c r="M43" s="18">
        <f>SUMIFS($I$7:$I$22,$C$7:$C$22,B43,$J$7:$J$22,"In-kind")</f>
        <v/>
      </c>
    </row>
    <row r="44">
      <c r="B44" s="8" t="inlineStr">
        <is>
          <t>Categorised total</t>
        </is>
      </c>
      <c r="I44" s="34">
        <f>SUM(I36:I43)</f>
        <v/>
      </c>
      <c r="K44" s="65">
        <f>IFERROR(I44/$I$24,"")</f>
        <v/>
      </c>
      <c r="M44" s="34">
        <f>SUM(M36:M43)</f>
        <v/>
      </c>
    </row>
    <row r="45">
      <c r="B45" s="8" t="inlineStr">
        <is>
          <t>Uncategorised grant dollars</t>
        </is>
      </c>
      <c r="I45" s="18">
        <f>I24-I44</f>
        <v/>
      </c>
      <c r="M45" s="24">
        <f>IF(ROUND(I45,2)=0,"Every grant-funded row carries a category.","Some grant-funded rows have no category. A budget narrative organised by category will drop them.")</f>
        <v/>
      </c>
    </row>
    <row r="47" ht="20" customHeight="1">
      <c r="A47" s="4" t="inlineStr">
        <is>
          <t>WHAT THIS COLUMN IS FOR</t>
        </is>
      </c>
      <c r="B47" s="5" t="n"/>
      <c r="C47" s="5" t="n"/>
      <c r="D47" s="5" t="n"/>
      <c r="E47" s="5" t="n"/>
      <c r="F47" s="5" t="n"/>
      <c r="G47" s="5" t="n"/>
      <c r="H47" s="5" t="n"/>
      <c r="I47" s="5" t="n"/>
      <c r="J47" s="5" t="n"/>
      <c r="K47" s="5" t="n"/>
      <c r="L47" s="5" t="n"/>
      <c r="M47" s="5" t="n"/>
    </row>
    <row r="48" ht="74" customHeight="1">
      <c r="A48" s="6" t="inlineStr">
        <is>
          <t>The inputs column is the cross-check a reviewer runs first. If the model lists a full-time family navigator and the budget funds a quarter-time coordinator, the reviewer trusts the budget and discounts the model. Pricing the inputs is also where an overreaching workplan gets cut: the first draft of this composite assumed a full-time coordinator, and at a $25,000 request with volunteer tutors and donated space absorbing most of the delivery cost, that line pays for part-time hours and nothing more. Two of these inputs also belong on the assumptions line, because the organisation controls neither one, the donated classroom depends on a principal who can reassign the room, and twelve volunteers depend on a recruitment season that has come up short before.</t>
        </is>
      </c>
    </row>
    <row r="50">
      <c r="A50" s="15" t="inlineStr">
        <is>
          <t>GrantCue - grantcue.com/blog/logic-model-for-grant-writing</t>
        </is>
      </c>
    </row>
  </sheetData>
  <mergeCells count="1">
    <mergeCell ref="A48:M48"/>
  </mergeCells>
  <dataValidations count="2">
    <dataValidation sqref="J7:J22" showDropDown="0" showInputMessage="0" showErrorMessage="0" allowBlank="1" type="list">
      <formula1>"Grant,In-kind,Other funder"</formula1>
    </dataValidation>
    <dataValidation sqref="C7:C22" showDropDown="0" showInputMessage="0" showErrorMessage="0" allowBlank="1" type="list">
      <formula1>"Personnel,Materials,Space,Volunteers,Travel,Contracted services,Equipment,Partner capacity"</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tabColor rgb="004A7CA6"/>
    <outlinePr summaryBelow="1" summaryRight="1"/>
    <pageSetUpPr fitToPage="1"/>
  </sheetPr>
  <dimension ref="A1:K39"/>
  <sheetViews>
    <sheetView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2" customWidth="1" min="2" max="2"/>
    <col width="16" customWidth="1" min="3" max="3"/>
    <col width="24" customWidth="1" min="4" max="4"/>
    <col width="14" customWidth="1" min="5" max="5"/>
    <col width="14" customWidth="1" min="6" max="6"/>
    <col width="11" customWidth="1" min="7" max="7"/>
    <col width="30" customWidth="1" min="8" max="8"/>
    <col width="44" customWidth="1" min="9" max="9"/>
    <col width="38" customWidth="1" min="10" max="10"/>
    <col width="30" customWidth="1" min="11" max="11"/>
  </cols>
  <sheetData>
    <row r="1">
      <c r="A1" s="1" t="inlineStr">
        <is>
          <t>Step 6: Assumptions and External Factors</t>
        </is>
      </c>
    </row>
    <row r="2">
      <c r="A2" s="2" t="inlineStr">
        <is>
          <t>Underneath the columns, write what has to be true for the chain to hold, and what could break it. Naming them signals that you have thought past the best case.</t>
        </is>
      </c>
    </row>
    <row r="3">
      <c r="A3" s="3" t="inlineStr">
        <is>
          <t>Score each one and the sheet tells you which belong in the narrative, which belong on the assumptions line, and which you can simply monitor.</t>
        </is>
      </c>
    </row>
    <row r="5" ht="20" customHeight="1">
      <c r="A5" s="4" t="inlineStr">
        <is>
          <t>ASSUMPTION REGISTER</t>
        </is>
      </c>
      <c r="B5" s="5" t="n"/>
      <c r="C5" s="5" t="n"/>
      <c r="D5" s="5" t="n"/>
      <c r="E5" s="5" t="n"/>
      <c r="F5" s="5" t="n"/>
      <c r="G5" s="5" t="n"/>
      <c r="H5" s="5" t="n"/>
      <c r="I5" s="5" t="n"/>
      <c r="J5" s="5" t="n"/>
      <c r="K5" s="5" t="n"/>
    </row>
    <row r="6" ht="34" customHeight="1">
      <c r="A6" s="7" t="inlineStr">
        <is>
          <t>ID</t>
        </is>
      </c>
      <c r="B6" s="7" t="inlineStr">
        <is>
          <t>Assumption: what has to be true</t>
        </is>
      </c>
      <c r="C6" s="7" t="inlineStr">
        <is>
          <t>Holds up</t>
        </is>
      </c>
      <c r="D6" s="7" t="inlineStr">
        <is>
          <t>Who controls it</t>
        </is>
      </c>
      <c r="E6" s="7" t="inlineStr">
        <is>
          <t>Chance it fails (1-5)</t>
        </is>
      </c>
      <c r="F6" s="7" t="inlineStr">
        <is>
          <t>Damage if it fails (1-5)</t>
        </is>
      </c>
      <c r="G6" s="7" t="inlineStr">
        <is>
          <t>Risk (live)</t>
        </is>
      </c>
      <c r="H6" s="7" t="inlineStr">
        <is>
          <t>What to do with it (live)</t>
        </is>
      </c>
      <c r="I6" s="7" t="inlineStr">
        <is>
          <t>Fallback, in one sentence</t>
        </is>
      </c>
      <c r="J6" s="7" t="inlineStr">
        <is>
          <t>External factor that could break it</t>
        </is>
      </c>
      <c r="K6" s="7" t="inlineStr">
        <is>
          <t>Watch date</t>
        </is>
      </c>
    </row>
    <row r="7" ht="62" customHeight="1">
      <c r="A7" s="25" t="inlineStr">
        <is>
          <t>AS-1</t>
        </is>
      </c>
      <c r="B7" s="16" t="inlineStr">
        <is>
          <t>The partner school keeps the donated classroom available two afternoons a week</t>
        </is>
      </c>
      <c r="C7" s="16" t="inlineStr">
        <is>
          <t>IN-11</t>
        </is>
      </c>
      <c r="D7" s="16" t="inlineStr">
        <is>
          <t>The school principal</t>
        </is>
      </c>
      <c r="E7" s="62" t="n">
        <v>3</v>
      </c>
      <c r="F7" s="62" t="n">
        <v>5</v>
      </c>
      <c r="G7" s="67">
        <f>IF(OR(E7="",F7=""),"",E7*F7)</f>
        <v/>
      </c>
      <c r="H7" s="24">
        <f>IF(B7="","",IF(G7="","Score the chance and the damage.",IF(G7&gt;=15,"Address it in the narrative. A risk this size needs a sentence in the project description, not just a line under the diagram.",IF(G7&gt;=8,"Write it on the assumptions line under the columns, with the fallback.","Monitor it. No need to spend narrative space."))))</f>
        <v/>
      </c>
      <c r="I7" s="16" t="inlineStr">
        <is>
          <t>Sessions move to the public library branch six blocks away, which has committed a room in writing but only on Tuesdays and Thursdays.</t>
        </is>
      </c>
      <c r="J7" s="16" t="inlineStr">
        <is>
          <t>A mid-year change of principal, or the room being reassigned for testing.</t>
        </is>
      </c>
      <c r="K7" s="61" t="n">
        <v>46614</v>
      </c>
    </row>
    <row r="8" ht="62" customHeight="1">
      <c r="A8" s="25" t="inlineStr">
        <is>
          <t>AS-2</t>
        </is>
      </c>
      <c r="B8" s="16" t="inlineStr">
        <is>
          <t>Twelve volunteer tutors are recruited and cleared before the second week of term</t>
        </is>
      </c>
      <c r="C8" s="16" t="inlineStr">
        <is>
          <t>IN-12, AC-2</t>
        </is>
      </c>
      <c r="D8" s="16" t="inlineStr">
        <is>
          <t>The organisation, partly</t>
        </is>
      </c>
      <c r="E8" s="62" t="n">
        <v>4</v>
      </c>
      <c r="F8" s="62" t="n">
        <v>4</v>
      </c>
      <c r="G8" s="67">
        <f>IF(OR(E8="",F8=""),"",E8*F8)</f>
        <v/>
      </c>
      <c r="H8" s="24">
        <f>IF(B8="","",IF(G8="","Score the chance and the damage.",IF(G8&gt;=15,"Address it in the narrative. A risk this size needs a sentence in the project description, not just a line under the diagram.",IF(G8&gt;=8,"Write it on the assumptions line under the columns, with the fallback.","Monitor it. No need to spend narrative space."))))</f>
        <v/>
      </c>
      <c r="I8" s="16" t="inlineStr">
        <is>
          <t>Group size rises from five to seven students per tutor and the coordinator covers one group directly, which cuts supervision time rather than sessions.</t>
        </is>
      </c>
      <c r="J8" s="16" t="inlineStr">
        <is>
          <t>A recruitment season that comes up short, as it has before, or background check delays at the state office.</t>
        </is>
      </c>
      <c r="K8" s="61" t="n">
        <v>46631</v>
      </c>
    </row>
    <row r="9" ht="62" customHeight="1">
      <c r="A9" s="25" t="inlineStr">
        <is>
          <t>AS-3</t>
        </is>
      </c>
      <c r="B9" s="16" t="inlineStr">
        <is>
          <t>The partner school releases individual student reading levels under the data share agreement</t>
        </is>
      </c>
      <c r="C9" s="16" t="inlineStr">
        <is>
          <t>OC-2</t>
        </is>
      </c>
      <c r="D9" s="16" t="inlineStr">
        <is>
          <t>The school district</t>
        </is>
      </c>
      <c r="E9" s="62" t="n">
        <v>2</v>
      </c>
      <c r="F9" s="62" t="n">
        <v>5</v>
      </c>
      <c r="G9" s="67">
        <f>IF(OR(E9="",F9=""),"",E9*F9)</f>
        <v/>
      </c>
      <c r="H9" s="24">
        <f>IF(B9="","",IF(G9="","Score the chance and the damage.",IF(G9&gt;=15,"Address it in the narrative. A risk this size needs a sentence in the project description, not just a line under the diagram.",IF(G9&gt;=8,"Write it on the assumptions line under the columns, with the fallback.","Monitor it. No need to spend narrative space."))))</f>
        <v/>
      </c>
      <c r="I9" s="16" t="inlineStr">
        <is>
          <t>The medium-term outcome falls back to the program's own screener, which measures decoding but not reading level, and the target is restated in the first interim report.</t>
        </is>
      </c>
      <c r="J9" s="16" t="inlineStr">
        <is>
          <t>A district policy change on student data, or a new data steward reading the agreement differently.</t>
        </is>
      </c>
      <c r="K9" s="61" t="n">
        <v>46661</v>
      </c>
    </row>
    <row r="10" ht="62" customHeight="1">
      <c r="A10" s="25" t="inlineStr">
        <is>
          <t>AS-4</t>
        </is>
      </c>
      <c r="B10" s="16" t="inlineStr">
        <is>
          <t>Referrals continue at a rate that fills thirty places</t>
        </is>
      </c>
      <c r="C10" s="16" t="inlineStr">
        <is>
          <t>OP-1</t>
        </is>
      </c>
      <c r="D10" s="16" t="inlineStr">
        <is>
          <t>The partner school and a neighbouring family resource centre</t>
        </is>
      </c>
      <c r="E10" s="62" t="n">
        <v>3</v>
      </c>
      <c r="F10" s="62" t="n">
        <v>4</v>
      </c>
      <c r="G10" s="67">
        <f>IF(OR(E10="",F10=""),"",E10*F10)</f>
        <v/>
      </c>
      <c r="H10" s="24">
        <f>IF(B10="","",IF(G10="","Score the chance and the damage.",IF(G10&gt;=15,"Address it in the narrative. A risk this size needs a sentence in the project description, not just a line under the diagram.",IF(G10&gt;=8,"Write it on the assumptions line under the columns, with the fallback.","Monitor it. No need to spend narrative space."))))</f>
        <v/>
      </c>
      <c r="I10" s="16" t="inlineStr">
        <is>
          <t>Enrolment opens to a second grade level at the same school rather than reducing the target.</t>
        </is>
      </c>
      <c r="J10" s="16" t="inlineStr">
        <is>
          <t>A funding cut at the referral agency, or a change in the school's intervention triage.</t>
        </is>
      </c>
      <c r="K10" s="61" t="n">
        <v>46651</v>
      </c>
    </row>
    <row r="11" ht="62" customHeight="1">
      <c r="A11" s="25" t="inlineStr">
        <is>
          <t>AS-5</t>
        </is>
      </c>
      <c r="B11" s="16" t="inlineStr">
        <is>
          <t>The fall and spring assessment windows both fall inside the grant term</t>
        </is>
      </c>
      <c r="C11" s="16" t="inlineStr">
        <is>
          <t>OP-4, OC-1, OC-2</t>
        </is>
      </c>
      <c r="D11" s="16" t="inlineStr">
        <is>
          <t>The school calendar</t>
        </is>
      </c>
      <c r="E11" s="62" t="n">
        <v>2</v>
      </c>
      <c r="F11" s="62" t="n">
        <v>4</v>
      </c>
      <c r="G11" s="67">
        <f>IF(OR(E11="",F11=""),"",E11*F11)</f>
        <v/>
      </c>
      <c r="H11" s="24">
        <f>IF(B11="","",IF(G11="","Score the chance and the damage.",IF(G11&gt;=15,"Address it in the narrative. A risk this size needs a sentence in the project description, not just a line under the diagram.",IF(G11&gt;=8,"Write it on the assumptions line under the columns, with the fallback.","Monitor it. No need to spend narrative space."))))</f>
        <v/>
      </c>
      <c r="I11" s="16" t="inlineStr">
        <is>
          <t>The spring administration moves a week earlier and the results memo is drafted from the earlier data.</t>
        </is>
      </c>
      <c r="J11" s="16" t="inlineStr">
        <is>
          <t>A school calendar revision, or weather closures compressing the spring testing window.</t>
        </is>
      </c>
      <c r="K11" s="61" t="n">
        <v>46637</v>
      </c>
    </row>
    <row r="12" ht="62" customHeight="1">
      <c r="A12" s="25" t="inlineStr">
        <is>
          <t>AS-6</t>
        </is>
      </c>
      <c r="B12" s="16" t="n"/>
      <c r="C12" s="16" t="n"/>
      <c r="D12" s="16" t="n"/>
      <c r="E12" s="62" t="n"/>
      <c r="F12" s="62" t="n"/>
      <c r="G12" s="67">
        <f>IF(OR(E12="",F12=""),"",E12*F12)</f>
        <v/>
      </c>
      <c r="H12" s="24">
        <f>IF(B12="","",IF(G12="","Score the chance and the damage.",IF(G12&gt;=15,"Address it in the narrative. A risk this size needs a sentence in the project description, not just a line under the diagram.",IF(G12&gt;=8,"Write it on the assumptions line under the columns, with the fallback.","Monitor it. No need to spend narrative space."))))</f>
        <v/>
      </c>
      <c r="I12" s="16" t="n"/>
      <c r="J12" s="16" t="n"/>
      <c r="K12" s="61" t="n"/>
    </row>
    <row r="13" ht="62" customHeight="1">
      <c r="A13" s="25" t="inlineStr">
        <is>
          <t>AS-7</t>
        </is>
      </c>
      <c r="B13" s="16" t="n"/>
      <c r="C13" s="16" t="n"/>
      <c r="D13" s="16" t="n"/>
      <c r="E13" s="62" t="n"/>
      <c r="F13" s="62" t="n"/>
      <c r="G13" s="67">
        <f>IF(OR(E13="",F13=""),"",E13*F13)</f>
        <v/>
      </c>
      <c r="H13" s="24">
        <f>IF(B13="","",IF(G13="","Score the chance and the damage.",IF(G13&gt;=15,"Address it in the narrative. A risk this size needs a sentence in the project description, not just a line under the diagram.",IF(G13&gt;=8,"Write it on the assumptions line under the columns, with the fallback.","Monitor it. No need to spend narrative space."))))</f>
        <v/>
      </c>
      <c r="I13" s="16" t="n"/>
      <c r="J13" s="16" t="n"/>
      <c r="K13" s="61" t="n"/>
    </row>
    <row r="14" ht="62" customHeight="1">
      <c r="A14" s="25" t="inlineStr">
        <is>
          <t>AS-8</t>
        </is>
      </c>
      <c r="B14" s="16" t="n"/>
      <c r="C14" s="16" t="n"/>
      <c r="D14" s="16" t="n"/>
      <c r="E14" s="62" t="n"/>
      <c r="F14" s="62" t="n"/>
      <c r="G14" s="67">
        <f>IF(OR(E14="",F14=""),"",E14*F14)</f>
        <v/>
      </c>
      <c r="H14" s="24">
        <f>IF(B14="","",IF(G14="","Score the chance and the damage.",IF(G14&gt;=15,"Address it in the narrative. A risk this size needs a sentence in the project description, not just a line under the diagram.",IF(G14&gt;=8,"Write it on the assumptions line under the columns, with the fallback.","Monitor it. No need to spend narrative space."))))</f>
        <v/>
      </c>
      <c r="I14" s="16" t="n"/>
      <c r="J14" s="16" t="n"/>
      <c r="K14" s="61" t="n"/>
    </row>
    <row r="15" ht="62" customHeight="1">
      <c r="A15" s="25" t="inlineStr">
        <is>
          <t>AS-9</t>
        </is>
      </c>
      <c r="B15" s="16" t="n"/>
      <c r="C15" s="16" t="n"/>
      <c r="D15" s="16" t="n"/>
      <c r="E15" s="62" t="n"/>
      <c r="F15" s="62" t="n"/>
      <c r="G15" s="67">
        <f>IF(OR(E15="",F15=""),"",E15*F15)</f>
        <v/>
      </c>
      <c r="H15" s="24">
        <f>IF(B15="","",IF(G15="","Score the chance and the damage.",IF(G15&gt;=15,"Address it in the narrative. A risk this size needs a sentence in the project description, not just a line under the diagram.",IF(G15&gt;=8,"Write it on the assumptions line under the columns, with the fallback.","Monitor it. No need to spend narrative space."))))</f>
        <v/>
      </c>
      <c r="I15" s="16" t="n"/>
      <c r="J15" s="16" t="n"/>
      <c r="K15" s="61" t="n"/>
    </row>
    <row r="16" ht="62" customHeight="1">
      <c r="A16" s="25" t="inlineStr">
        <is>
          <t>AS-10</t>
        </is>
      </c>
      <c r="B16" s="16" t="n"/>
      <c r="C16" s="16" t="n"/>
      <c r="D16" s="16" t="n"/>
      <c r="E16" s="62" t="n"/>
      <c r="F16" s="62" t="n"/>
      <c r="G16" s="67">
        <f>IF(OR(E16="",F16=""),"",E16*F16)</f>
        <v/>
      </c>
      <c r="H16" s="24">
        <f>IF(B16="","",IF(G16="","Score the chance and the damage.",IF(G16&gt;=15,"Address it in the narrative. A risk this size needs a sentence in the project description, not just a line under the diagram.",IF(G16&gt;=8,"Write it on the assumptions line under the columns, with the fallback.","Monitor it. No need to spend narrative space."))))</f>
        <v/>
      </c>
      <c r="I16" s="16" t="n"/>
      <c r="J16" s="16" t="n"/>
      <c r="K16" s="61" t="n"/>
    </row>
    <row r="18" ht="20" customHeight="1">
      <c r="A18" s="4" t="inlineStr">
        <is>
          <t>RISK SUMMARY: live</t>
        </is>
      </c>
      <c r="B18" s="5" t="n"/>
      <c r="C18" s="5" t="n"/>
      <c r="D18" s="5" t="n"/>
      <c r="E18" s="5" t="n"/>
      <c r="F18" s="5" t="n"/>
      <c r="G18" s="5" t="n"/>
      <c r="H18" s="5" t="n"/>
      <c r="I18" s="5" t="n"/>
      <c r="J18" s="5" t="n"/>
      <c r="K18" s="5" t="n"/>
    </row>
    <row r="19" ht="20" customHeight="1">
      <c r="A19" s="7" t="inlineStr">
        <is>
          <t>Figure</t>
        </is>
      </c>
      <c r="B19" s="7" t="inlineStr">
        <is>
          <t>Value</t>
        </is>
      </c>
      <c r="C19" s="7" t="inlineStr">
        <is>
          <t>What it means</t>
        </is>
      </c>
      <c r="D19" s="7" t="inlineStr"/>
      <c r="E19" s="7" t="inlineStr"/>
      <c r="F19" s="7" t="inlineStr"/>
      <c r="G19" s="7" t="inlineStr"/>
      <c r="H19" s="7" t="inlineStr"/>
      <c r="I19" s="7" t="inlineStr"/>
      <c r="J19" s="7" t="inlineStr"/>
      <c r="K19" s="7" t="inlineStr"/>
    </row>
    <row r="20" ht="30" customHeight="1">
      <c r="A20" s="8" t="inlineStr">
        <is>
          <t>Assumptions recorded</t>
        </is>
      </c>
      <c r="B20" s="63">
        <f>COUNTA($B$7:$B$16)</f>
        <v/>
      </c>
      <c r="C20" s="26" t="inlineStr">
        <is>
          <t>Two or three well-chosen ones beat a list of ten.</t>
        </is>
      </c>
      <c r="D20" s="27" t="n"/>
      <c r="E20" s="27" t="n"/>
      <c r="F20" s="27" t="n"/>
      <c r="G20" s="27" t="n"/>
      <c r="H20" s="27" t="n"/>
      <c r="I20" s="28" t="n"/>
    </row>
    <row r="21" ht="30" customHeight="1">
      <c r="A21" s="8" t="inlineStr">
        <is>
          <t>Highest risk score</t>
        </is>
      </c>
      <c r="B21" s="63">
        <f>IFERROR(MAX($G$7:$G$16),"")</f>
        <v/>
      </c>
      <c r="C21" s="26" t="inlineStr">
        <is>
          <t>Twenty-five is the ceiling: certain to fail, fatal if it does.</t>
        </is>
      </c>
      <c r="D21" s="27" t="n"/>
      <c r="E21" s="27" t="n"/>
      <c r="F21" s="27" t="n"/>
      <c r="G21" s="27" t="n"/>
      <c r="H21" s="27" t="n"/>
      <c r="I21" s="28" t="n"/>
    </row>
    <row r="22" ht="30" customHeight="1">
      <c r="A22" s="8" t="inlineStr">
        <is>
          <t>Average risk score</t>
        </is>
      </c>
      <c r="B22" s="24">
        <f>IFERROR(ROUND(AVERAGE($G$7:$G$16),1),"")</f>
        <v/>
      </c>
      <c r="C22" s="26" t="inlineStr">
        <is>
          <t>A high average usually means the program depends on too many other people.</t>
        </is>
      </c>
      <c r="D22" s="27" t="n"/>
      <c r="E22" s="27" t="n"/>
      <c r="F22" s="27" t="n"/>
      <c r="G22" s="27" t="n"/>
      <c r="H22" s="27" t="n"/>
      <c r="I22" s="28" t="n"/>
    </row>
    <row r="23" ht="30" customHeight="1">
      <c r="A23" s="8" t="inlineStr">
        <is>
          <t>Assumptions needing narrative space</t>
        </is>
      </c>
      <c r="B23" s="63">
        <f>COUNTIF($G$7:$G$16,"&gt;=15")</f>
        <v/>
      </c>
      <c r="C23" s="26" t="inlineStr">
        <is>
          <t>Each one needs a sentence in the project description.</t>
        </is>
      </c>
      <c r="D23" s="27" t="n"/>
      <c r="E23" s="27" t="n"/>
      <c r="F23" s="27" t="n"/>
      <c r="G23" s="27" t="n"/>
      <c r="H23" s="27" t="n"/>
      <c r="I23" s="28" t="n"/>
    </row>
    <row r="24" ht="30" customHeight="1">
      <c r="A24" s="8" t="inlineStr">
        <is>
          <t>Assumptions for the line under the columns</t>
        </is>
      </c>
      <c r="B24" s="63">
        <f>COUNTIFS($G$7:$G$16,"&gt;=8",$G$7:$G$16,"&lt;15")</f>
        <v/>
      </c>
      <c r="C24" s="26" t="inlineStr">
        <is>
          <t>Write these underneath the five columns with the fallback in a sentence.</t>
        </is>
      </c>
      <c r="D24" s="27" t="n"/>
      <c r="E24" s="27" t="n"/>
      <c r="F24" s="27" t="n"/>
      <c r="G24" s="27" t="n"/>
      <c r="H24" s="27" t="n"/>
      <c r="I24" s="28" t="n"/>
    </row>
    <row r="25" ht="30" customHeight="1">
      <c r="A25" s="8" t="inlineStr">
        <is>
          <t>Assumptions with no fallback written</t>
        </is>
      </c>
      <c r="B25" s="63">
        <f>COUNTIFS($B$7:$B$16,"&lt;&gt;",$I$7:$I$16,"")</f>
        <v/>
      </c>
      <c r="C25" s="26" t="inlineStr">
        <is>
          <t>A named risk with no fallback reads worse than an unnamed one.</t>
        </is>
      </c>
      <c r="D25" s="27" t="n"/>
      <c r="E25" s="27" t="n"/>
      <c r="F25" s="27" t="n"/>
      <c r="G25" s="27" t="n"/>
      <c r="H25" s="27" t="n"/>
      <c r="I25" s="28" t="n"/>
    </row>
    <row r="26" ht="30" customHeight="1">
      <c r="A26" s="8" t="inlineStr">
        <is>
          <t>Assumptions outside your control</t>
        </is>
      </c>
      <c r="B26" s="63">
        <f>COUNTIFS($B$7:$B$16,"&lt;&gt;",$D$7:$D$16,"&lt;&gt;The organisation")</f>
        <v/>
      </c>
      <c r="C26" s="26" t="inlineStr">
        <is>
          <t>The honest count. Most of a small program's chain depends on partners.</t>
        </is>
      </c>
      <c r="D26" s="27" t="n"/>
      <c r="E26" s="27" t="n"/>
      <c r="F26" s="27" t="n"/>
      <c r="G26" s="27" t="n"/>
      <c r="H26" s="27" t="n"/>
      <c r="I26" s="28" t="n"/>
    </row>
    <row r="27" ht="30" customHeight="1">
      <c r="A27" s="8" t="inlineStr">
        <is>
          <t>Risk verdict</t>
        </is>
      </c>
      <c r="B27" s="24">
        <f>IF(B20=0,"No assumptions recorded. Write at least the two that carry your largest in-kind inputs.",IF(B25&gt;0,"Write a fallback for "&amp;B25&amp;" assumption(s). A reviewer wants to see that the plan survives losing the room.","Every assumption has a fallback. The plan survives losing the room."))</f>
        <v/>
      </c>
      <c r="C27" s="26" t="inlineStr">
        <is>
          <t>The gate before the model is finished.</t>
        </is>
      </c>
      <c r="D27" s="27" t="n"/>
      <c r="E27" s="27" t="n"/>
      <c r="F27" s="27" t="n"/>
      <c r="G27" s="27" t="n"/>
      <c r="H27" s="27" t="n"/>
      <c r="I27" s="28" t="n"/>
    </row>
    <row r="29" ht="20" customHeight="1">
      <c r="A29" s="4" t="inlineStr">
        <is>
          <t>SCORING GUIDE</t>
        </is>
      </c>
      <c r="B29" s="5" t="n"/>
      <c r="C29" s="5" t="n"/>
      <c r="D29" s="5" t="n"/>
      <c r="E29" s="5" t="n"/>
      <c r="F29" s="5" t="n"/>
      <c r="G29" s="5" t="n"/>
      <c r="H29" s="5" t="n"/>
      <c r="I29" s="5" t="n"/>
      <c r="J29" s="5" t="n"/>
      <c r="K29" s="5" t="n"/>
    </row>
    <row r="30" ht="20" customHeight="1">
      <c r="A30" s="7" t="inlineStr">
        <is>
          <t>Score</t>
        </is>
      </c>
      <c r="B30" s="7" t="inlineStr">
        <is>
          <t>Chance it fails</t>
        </is>
      </c>
      <c r="C30" s="7" t="inlineStr">
        <is>
          <t>Damage if it fails</t>
        </is>
      </c>
      <c r="D30" s="7" t="inlineStr"/>
      <c r="E30" s="7" t="inlineStr"/>
      <c r="F30" s="7" t="inlineStr"/>
      <c r="G30" s="7" t="inlineStr"/>
      <c r="H30" s="7" t="inlineStr"/>
      <c r="I30" s="7" t="inlineStr"/>
      <c r="J30" s="7" t="inlineStr"/>
      <c r="K30" s="7" t="inlineStr"/>
    </row>
    <row r="31" ht="26" customHeight="1">
      <c r="A31" s="68" t="n">
        <v>1</v>
      </c>
      <c r="B31" s="9" t="inlineStr">
        <is>
          <t>Effectively certain to hold. Written commitment in hand.</t>
        </is>
      </c>
      <c r="C31" s="9" t="inlineStr">
        <is>
          <t>A minor inconvenience. Nothing in the model moves.</t>
        </is>
      </c>
      <c r="D31" s="27" t="n"/>
      <c r="E31" s="27" t="n"/>
      <c r="F31" s="27" t="n"/>
      <c r="G31" s="27" t="n"/>
      <c r="H31" s="27" t="n"/>
      <c r="I31" s="28" t="n"/>
    </row>
    <row r="32" ht="26" customHeight="1">
      <c r="A32" s="68" t="n">
        <v>2</v>
      </c>
      <c r="B32" s="9" t="inlineStr">
        <is>
          <t>Likely to hold. It has held every year so far.</t>
        </is>
      </c>
      <c r="C32" s="9" t="inlineStr">
        <is>
          <t>One output count drops slightly. No outcome is affected.</t>
        </is>
      </c>
      <c r="D32" s="27" t="n"/>
      <c r="E32" s="27" t="n"/>
      <c r="F32" s="27" t="n"/>
      <c r="G32" s="27" t="n"/>
      <c r="H32" s="27" t="n"/>
      <c r="I32" s="28" t="n"/>
    </row>
    <row r="33" ht="26" customHeight="1">
      <c r="A33" s="68" t="n">
        <v>3</v>
      </c>
      <c r="B33" s="9" t="inlineStr">
        <is>
          <t>Even odds. It has failed once in recent memory.</t>
        </is>
      </c>
      <c r="C33" s="9" t="inlineStr">
        <is>
          <t>An output target is missed and has to be explained in an interim report.</t>
        </is>
      </c>
      <c r="D33" s="27" t="n"/>
      <c r="E33" s="27" t="n"/>
      <c r="F33" s="27" t="n"/>
      <c r="G33" s="27" t="n"/>
      <c r="H33" s="27" t="n"/>
      <c r="I33" s="28" t="n"/>
    </row>
    <row r="34" ht="26" customHeight="1">
      <c r="A34" s="68" t="n">
        <v>4</v>
      </c>
      <c r="B34" s="9" t="inlineStr">
        <is>
          <t>More likely to fail than hold this year.</t>
        </is>
      </c>
      <c r="C34" s="9" t="inlineStr">
        <is>
          <t>An outcome target is missed, or an activity cannot run as designed.</t>
        </is>
      </c>
      <c r="D34" s="27" t="n"/>
      <c r="E34" s="27" t="n"/>
      <c r="F34" s="27" t="n"/>
      <c r="G34" s="27" t="n"/>
      <c r="H34" s="27" t="n"/>
      <c r="I34" s="28" t="n"/>
    </row>
    <row r="35" ht="26" customHeight="1">
      <c r="A35" s="68" t="n">
        <v>5</v>
      </c>
      <c r="B35" s="9" t="inlineStr">
        <is>
          <t>Expected to fail unless something changes.</t>
        </is>
      </c>
      <c r="C35" s="9" t="inlineStr">
        <is>
          <t>The chain breaks. The program cannot deliver what the proposal promised.</t>
        </is>
      </c>
      <c r="D35" s="27" t="n"/>
      <c r="E35" s="27" t="n"/>
      <c r="F35" s="27" t="n"/>
      <c r="G35" s="27" t="n"/>
      <c r="H35" s="27" t="n"/>
      <c r="I35" s="28" t="n"/>
    </row>
    <row r="37" ht="40" customHeight="1">
      <c r="A37" s="14" t="inlineStr">
        <is>
          <t>Risk is the two scores multiplied, from 1 to 25. Fifteen and above earns a sentence in the narrative; eight to fourteen earns a line under the columns; below eight is a monitoring item. Score the chance honestly, the point of the exercise is to be wrong on paper before you are wrong in the final report.</t>
        </is>
      </c>
    </row>
    <row r="39">
      <c r="A39" s="15" t="inlineStr">
        <is>
          <t>GrantCue - grantcue.com/blog/logic-model-for-grant-writing</t>
        </is>
      </c>
    </row>
  </sheetData>
  <mergeCells count="14">
    <mergeCell ref="C31:I31"/>
    <mergeCell ref="C23:I23"/>
    <mergeCell ref="C22:I22"/>
    <mergeCell ref="A37:K37"/>
    <mergeCell ref="C26:I26"/>
    <mergeCell ref="C35:I35"/>
    <mergeCell ref="C21:I21"/>
    <mergeCell ref="C20:I20"/>
    <mergeCell ref="C34:I34"/>
    <mergeCell ref="C32:I32"/>
    <mergeCell ref="C24:I24"/>
    <mergeCell ref="C33:I33"/>
    <mergeCell ref="C25:I25"/>
    <mergeCell ref="C27:I27"/>
  </mergeCells>
  <dataValidations count="1">
    <dataValidation sqref="E7:F16" showDropDown="0" showInputMessage="0" showErrorMessage="0" allowBlank="1" type="list">
      <formula1>"1,2,3,4,5"</formula1>
    </dataValidation>
  </dataValidations>
  <pageMargins left="0.75" right="0.75" top="1" bottom="1" header="0.5" footer="0.5"/>
  <pageSetup orientation="landscape" fitToHeight="0" fitToWidth="1"/>
</worksheet>
</file>

<file path=xl/worksheets/sheet9.xml><?xml version="1.0" encoding="utf-8"?>
<worksheet xmlns="http://schemas.openxmlformats.org/spreadsheetml/2006/main">
  <sheetPr>
    <tabColor rgb="001F4E79"/>
    <outlinePr summaryBelow="1" summaryRight="1"/>
    <pageSetUpPr fitToPage="1"/>
  </sheetPr>
  <dimension ref="A1:E42"/>
  <sheetViews>
    <sheetView workbookViewId="0">
      <selection activeCell="A1" sqref="A1"/>
    </sheetView>
  </sheetViews>
  <sheetFormatPr baseColWidth="8" defaultRowHeight="15"/>
  <cols>
    <col width="40" customWidth="1" min="1" max="1"/>
    <col width="40" customWidth="1" min="2" max="2"/>
    <col width="34" customWidth="1" min="3" max="3"/>
    <col width="46" customWidth="1" min="4" max="4"/>
    <col width="40" customWidth="1" min="5" max="5"/>
  </cols>
  <sheetData>
    <row r="1">
      <c r="A1" s="37">
        <f>"Logic Model: "&amp;'Program Setup'!B8</f>
        <v/>
      </c>
    </row>
    <row r="2">
      <c r="A2" s="38">
        <f>'Program Setup'!B7&amp;"   |   Request: "&amp;TEXT('Program Setup'!B10,"$#,##0")&amp;"   |   Term: "&amp;TEXT('Program Setup'!B11,"mmm d, yyyy")&amp;" to "&amp;TEXT('Program Setup'!B12,"mmm d, yyyy")&amp;"   |   "&amp;TEXT('Program Setup'!B16,"#,##0")&amp;" participants   |   Model dated "&amp;TEXT('Program Setup'!B21,"mmm d, yyyy")</f>
        <v/>
      </c>
    </row>
    <row r="3">
      <c r="A3" s="3" t="inlineStr">
        <is>
          <t>Nothing on this sheet is typed. Every cell is a link to the register sheets, so the page cannot drift out of step with the budget or the workplan.</t>
        </is>
      </c>
    </row>
    <row r="5" ht="24" customHeight="1">
      <c r="A5" s="7" t="inlineStr">
        <is>
          <t>INPUTS</t>
        </is>
      </c>
      <c r="B5" s="7" t="inlineStr">
        <is>
          <t>ACTIVITIES</t>
        </is>
      </c>
      <c r="C5" s="7" t="inlineStr">
        <is>
          <t>OUTPUTS</t>
        </is>
      </c>
      <c r="D5" s="7" t="inlineStr">
        <is>
          <t>OUTCOMES</t>
        </is>
      </c>
      <c r="E5" s="7" t="inlineStr">
        <is>
          <t>IMPACT</t>
        </is>
      </c>
    </row>
    <row r="6">
      <c r="A6" s="39" t="inlineStr">
        <is>
          <t>What the program needs to run</t>
        </is>
      </c>
      <c r="B6" s="39" t="inlineStr">
        <is>
          <t>What it does with those resources</t>
        </is>
      </c>
      <c r="C6" s="39" t="inlineStr">
        <is>
          <t>What the activities produce, counted</t>
        </is>
      </c>
      <c r="D6" s="39" t="inlineStr">
        <is>
          <t>What changes for participants</t>
        </is>
      </c>
      <c r="E6" s="39" t="inlineStr">
        <is>
          <t>The long-term condition the work contributes to</t>
        </is>
      </c>
    </row>
    <row r="7" ht="34" customHeight="1">
      <c r="A7" s="24">
        <f>IF('5 Inputs'!B7="","",'5 Inputs'!B7&amp;": "&amp;TEXT('5 Inputs'!I7,"$#,##0")&amp;IF('5 Inputs'!J7="In-kind"," (in-kind)",""))</f>
        <v/>
      </c>
      <c r="B7" s="24">
        <f>IF('4 Activities'!B7="","",'4 Activities'!B7&amp;" ("&amp;'4 Activities'!D7&amp;")")</f>
        <v/>
      </c>
      <c r="C7" s="24">
        <f>IF('3 Outputs'!B7="","",TEXT('3 Outputs'!D7,"#,##0")&amp;" "&amp;'3 Outputs'!C7&amp;", "&amp;'3 Outputs'!B7)</f>
        <v/>
      </c>
      <c r="D7" s="24">
        <f>IF('2 Outcomes'!C7="","",UPPER(LEFT('2 Outcomes'!B7,1))&amp;MID('2 Outcomes'!B7,2,20)&amp;": "&amp;'2 Outcomes'!N7)</f>
        <v/>
      </c>
      <c r="E7" s="24">
        <f>'1 Impact'!B18</f>
        <v/>
      </c>
    </row>
    <row r="8" ht="34" customHeight="1">
      <c r="A8" s="24">
        <f>IF('5 Inputs'!B8="","",'5 Inputs'!B8&amp;": "&amp;TEXT('5 Inputs'!I8,"$#,##0")&amp;IF('5 Inputs'!J8="In-kind"," (in-kind)",""))</f>
        <v/>
      </c>
      <c r="B8" s="24">
        <f>IF('4 Activities'!B8="","",'4 Activities'!B8&amp;" ("&amp;'4 Activities'!D8&amp;")")</f>
        <v/>
      </c>
      <c r="C8" s="24">
        <f>IF('3 Outputs'!B8="","",TEXT('3 Outputs'!D8,"#,##0")&amp;" "&amp;'3 Outputs'!C8&amp;", "&amp;'3 Outputs'!B8)</f>
        <v/>
      </c>
      <c r="D8" s="24">
        <f>IF('2 Outcomes'!C8="","",UPPER(LEFT('2 Outcomes'!B8,1))&amp;MID('2 Outcomes'!B8,2,20)&amp;": "&amp;'2 Outcomes'!N8)</f>
        <v/>
      </c>
      <c r="E8" s="40" t="n"/>
    </row>
    <row r="9" ht="34" customHeight="1">
      <c r="A9" s="24">
        <f>IF('5 Inputs'!B9="","",'5 Inputs'!B9&amp;": "&amp;TEXT('5 Inputs'!I9,"$#,##0")&amp;IF('5 Inputs'!J9="In-kind"," (in-kind)",""))</f>
        <v/>
      </c>
      <c r="B9" s="24">
        <f>IF('4 Activities'!B9="","",'4 Activities'!B9&amp;" ("&amp;'4 Activities'!D9&amp;")")</f>
        <v/>
      </c>
      <c r="C9" s="24">
        <f>IF('3 Outputs'!B9="","",TEXT('3 Outputs'!D9,"#,##0")&amp;" "&amp;'3 Outputs'!C9&amp;", "&amp;'3 Outputs'!B9)</f>
        <v/>
      </c>
      <c r="D9" s="24">
        <f>IF('2 Outcomes'!C9="","",UPPER(LEFT('2 Outcomes'!B9,1))&amp;MID('2 Outcomes'!B9,2,20)&amp;": "&amp;'2 Outcomes'!N9)</f>
        <v/>
      </c>
      <c r="E9" s="40" t="n"/>
    </row>
    <row r="10" ht="34" customHeight="1">
      <c r="A10" s="24">
        <f>IF('5 Inputs'!B10="","",'5 Inputs'!B10&amp;": "&amp;TEXT('5 Inputs'!I10,"$#,##0")&amp;IF('5 Inputs'!J10="In-kind"," (in-kind)",""))</f>
        <v/>
      </c>
      <c r="B10" s="24">
        <f>IF('4 Activities'!B10="","",'4 Activities'!B10&amp;" ("&amp;'4 Activities'!D10&amp;")")</f>
        <v/>
      </c>
      <c r="C10" s="24">
        <f>IF('3 Outputs'!B10="","",TEXT('3 Outputs'!D10,"#,##0")&amp;" "&amp;'3 Outputs'!C10&amp;", "&amp;'3 Outputs'!B10)</f>
        <v/>
      </c>
      <c r="D10" s="24">
        <f>IF('2 Outcomes'!C10="","",UPPER(LEFT('2 Outcomes'!B10,1))&amp;MID('2 Outcomes'!B10,2,20)&amp;": "&amp;'2 Outcomes'!N10)</f>
        <v/>
      </c>
      <c r="E10" s="40" t="n"/>
    </row>
    <row r="11" ht="34" customHeight="1">
      <c r="A11" s="24">
        <f>IF('5 Inputs'!B11="","",'5 Inputs'!B11&amp;": "&amp;TEXT('5 Inputs'!I11,"$#,##0")&amp;IF('5 Inputs'!J11="In-kind"," (in-kind)",""))</f>
        <v/>
      </c>
      <c r="B11" s="24">
        <f>IF('4 Activities'!B11="","",'4 Activities'!B11&amp;" ("&amp;'4 Activities'!D11&amp;")")</f>
        <v/>
      </c>
      <c r="C11" s="24">
        <f>IF('3 Outputs'!B11="","",TEXT('3 Outputs'!D11,"#,##0")&amp;" "&amp;'3 Outputs'!C11&amp;", "&amp;'3 Outputs'!B11)</f>
        <v/>
      </c>
      <c r="D11" s="24">
        <f>IF('2 Outcomes'!C11="","",UPPER(LEFT('2 Outcomes'!B11,1))&amp;MID('2 Outcomes'!B11,2,20)&amp;": "&amp;'2 Outcomes'!N11)</f>
        <v/>
      </c>
      <c r="E11" s="40" t="n"/>
    </row>
    <row r="12" ht="34" customHeight="1">
      <c r="A12" s="24">
        <f>IF('5 Inputs'!B12="","",'5 Inputs'!B12&amp;": "&amp;TEXT('5 Inputs'!I12,"$#,##0")&amp;IF('5 Inputs'!J12="In-kind"," (in-kind)",""))</f>
        <v/>
      </c>
      <c r="B12" s="24">
        <f>IF('4 Activities'!B12="","",'4 Activities'!B12&amp;" ("&amp;'4 Activities'!D12&amp;")")</f>
        <v/>
      </c>
      <c r="C12" s="24">
        <f>IF('3 Outputs'!B12="","",TEXT('3 Outputs'!D12,"#,##0")&amp;" "&amp;'3 Outputs'!C12&amp;", "&amp;'3 Outputs'!B12)</f>
        <v/>
      </c>
      <c r="D12" s="24">
        <f>IF('2 Outcomes'!C12="","",UPPER(LEFT('2 Outcomes'!B12,1))&amp;MID('2 Outcomes'!B12,2,20)&amp;": "&amp;'2 Outcomes'!N12)</f>
        <v/>
      </c>
      <c r="E12" s="41" t="n"/>
    </row>
    <row r="13" ht="34" customHeight="1">
      <c r="A13" s="24">
        <f>IF('5 Inputs'!B13="","",'5 Inputs'!B13&amp;": "&amp;TEXT('5 Inputs'!I13,"$#,##0")&amp;IF('5 Inputs'!J13="In-kind"," (in-kind)",""))</f>
        <v/>
      </c>
      <c r="B13" s="24">
        <f>IF('4 Activities'!B13="","",'4 Activities'!B13&amp;" ("&amp;'4 Activities'!D13&amp;")")</f>
        <v/>
      </c>
      <c r="C13" s="24">
        <f>IF('3 Outputs'!B13="","",TEXT('3 Outputs'!D13,"#,##0")&amp;" "&amp;'3 Outputs'!C13&amp;", "&amp;'3 Outputs'!B13)</f>
        <v/>
      </c>
      <c r="D13" s="9" t="n"/>
      <c r="E13" s="42">
        <f>"Scale check: this project reaches "&amp;TEXT('1 Impact'!B17,"0.0%")&amp;" of the population named in the statement of need."</f>
        <v/>
      </c>
    </row>
    <row r="14" ht="34" customHeight="1">
      <c r="A14" s="24">
        <f>IF('5 Inputs'!B14="","",'5 Inputs'!B14&amp;": "&amp;TEXT('5 Inputs'!I14,"$#,##0")&amp;IF('5 Inputs'!J14="In-kind"," (in-kind)",""))</f>
        <v/>
      </c>
      <c r="B14" s="24">
        <f>IF('4 Activities'!B14="","",'4 Activities'!B14&amp;" ("&amp;'4 Activities'!D14&amp;")")</f>
        <v/>
      </c>
      <c r="C14" s="24">
        <f>IF('3 Outputs'!B14="","",TEXT('3 Outputs'!D14,"#,##0")&amp;" "&amp;'3 Outputs'!C14&amp;", "&amp;'3 Outputs'!B14)</f>
        <v/>
      </c>
      <c r="D14" s="9" t="n"/>
      <c r="E14" s="40" t="n"/>
    </row>
    <row r="15" ht="34" customHeight="1">
      <c r="A15" s="24">
        <f>IF('5 Inputs'!B15="","",'5 Inputs'!B15&amp;": "&amp;TEXT('5 Inputs'!I15,"$#,##0")&amp;IF('5 Inputs'!J15="In-kind"," (in-kind)",""))</f>
        <v/>
      </c>
      <c r="B15" s="24">
        <f>IF('4 Activities'!B15="","",'4 Activities'!B15&amp;" ("&amp;'4 Activities'!D15&amp;")")</f>
        <v/>
      </c>
      <c r="C15" s="24">
        <f>IF('3 Outputs'!B15="","",TEXT('3 Outputs'!D15,"#,##0")&amp;" "&amp;'3 Outputs'!C15&amp;", "&amp;'3 Outputs'!B15)</f>
        <v/>
      </c>
      <c r="D15" s="9" t="n"/>
      <c r="E15" s="41" t="n"/>
    </row>
    <row r="16" ht="34" customHeight="1">
      <c r="A16" s="24">
        <f>IF('5 Inputs'!B16="","",'5 Inputs'!B16&amp;": "&amp;TEXT('5 Inputs'!I16,"$#,##0")&amp;IF('5 Inputs'!J16="In-kind"," (in-kind)",""))</f>
        <v/>
      </c>
      <c r="B16" s="9" t="n"/>
      <c r="C16" s="9" t="n"/>
      <c r="D16" s="9" t="n"/>
      <c r="E16" s="42">
        <f>'1 Impact'!B21</f>
        <v/>
      </c>
    </row>
    <row r="17" ht="34" customHeight="1">
      <c r="A17" s="24">
        <f>IF('5 Inputs'!B17="","",'5 Inputs'!B17&amp;": "&amp;TEXT('5 Inputs'!I17,"$#,##0")&amp;IF('5 Inputs'!J17="In-kind"," (in-kind)",""))</f>
        <v/>
      </c>
      <c r="B17" s="9" t="n"/>
      <c r="C17" s="9" t="n"/>
      <c r="D17" s="9" t="n"/>
      <c r="E17" s="40" t="n"/>
    </row>
    <row r="18" ht="34" customHeight="1">
      <c r="A18" s="24">
        <f>IF('5 Inputs'!B18="","",'5 Inputs'!B18&amp;": "&amp;TEXT('5 Inputs'!I18,"$#,##0")&amp;IF('5 Inputs'!J18="In-kind"," (in-kind)",""))</f>
        <v/>
      </c>
      <c r="B18" s="9" t="n"/>
      <c r="C18" s="9" t="n"/>
      <c r="D18" s="9" t="n"/>
      <c r="E18" s="40" t="n"/>
    </row>
    <row r="19" ht="34" customHeight="1">
      <c r="A19" s="24">
        <f>IF('5 Inputs'!B19="","",'5 Inputs'!B19&amp;": "&amp;TEXT('5 Inputs'!I19,"$#,##0")&amp;IF('5 Inputs'!J19="In-kind"," (in-kind)",""))</f>
        <v/>
      </c>
      <c r="B19" s="9" t="n"/>
      <c r="C19" s="9" t="n"/>
      <c r="D19" s="9" t="n"/>
      <c r="E19" s="40" t="n"/>
    </row>
    <row r="20" ht="34" customHeight="1">
      <c r="A20" s="24">
        <f>IF('5 Inputs'!B20="","",'5 Inputs'!B20&amp;": "&amp;TEXT('5 Inputs'!I20,"$#,##0")&amp;IF('5 Inputs'!J20="In-kind"," (in-kind)",""))</f>
        <v/>
      </c>
      <c r="B20" s="9" t="n"/>
      <c r="C20" s="9" t="n"/>
      <c r="D20" s="9" t="n"/>
      <c r="E20" s="40" t="n"/>
    </row>
    <row r="21" ht="34" customHeight="1">
      <c r="A21" s="24">
        <f>IF('5 Inputs'!B21="","",'5 Inputs'!B21&amp;": "&amp;TEXT('5 Inputs'!I21,"$#,##0")&amp;IF('5 Inputs'!J21="In-kind"," (in-kind)",""))</f>
        <v/>
      </c>
      <c r="B21" s="9" t="n"/>
      <c r="C21" s="9" t="n"/>
      <c r="D21" s="9" t="n"/>
      <c r="E21" s="40" t="n"/>
    </row>
    <row r="22" ht="34" customHeight="1">
      <c r="A22" s="24">
        <f>IF('5 Inputs'!B22="","",'5 Inputs'!B22&amp;": "&amp;TEXT('5 Inputs'!I22,"$#,##0")&amp;IF('5 Inputs'!J22="In-kind"," (in-kind)",""))</f>
        <v/>
      </c>
      <c r="B22" s="9" t="n"/>
      <c r="C22" s="9" t="n"/>
      <c r="D22" s="9" t="n"/>
      <c r="E22" s="41" t="n"/>
    </row>
    <row r="23">
      <c r="A23" s="43">
        <f>"Grant funded: "&amp;TEXT('5 Inputs'!I26,"$#,##0")&amp;"  |  In-kind: "&amp;TEXT('5 Inputs'!I27,"$#,##0")</f>
        <v/>
      </c>
      <c r="B23" s="43">
        <f>COUNTA('4 Activities'!B7:B15)&amp;" activities on the workplan"</f>
        <v/>
      </c>
      <c r="C23" s="43">
        <f>TEXT(SUM('3 Outputs'!D7:D15),"#,##0")&amp;" units of service across "&amp;COUNTA('3 Outputs'!B7:B15)&amp;" counted outputs"</f>
        <v/>
      </c>
      <c r="D23" s="43">
        <f>COUNTIF('2 Outcomes'!B7:B12,"Short-term")&amp;" short-term and "&amp;COUNTIF('2 Outcomes'!B7:B12,"Medium-term")&amp;" medium-term outcomes"</f>
        <v/>
      </c>
      <c r="E23" s="43">
        <f>"Term: "&amp;TEXT('Program Setup'!B26,"0.0")&amp;" months"</f>
        <v/>
      </c>
    </row>
    <row r="25" ht="20" customHeight="1">
      <c r="A25" s="4" t="inlineStr">
        <is>
          <t>ASSUMPTIONS AND EXTERNAL FACTORS</t>
        </is>
      </c>
      <c r="B25" s="5" t="n"/>
      <c r="C25" s="5" t="n"/>
      <c r="D25" s="5" t="n"/>
      <c r="E25" s="5" t="n"/>
    </row>
    <row r="26" ht="40" customHeight="1">
      <c r="A26" s="24">
        <f>IF('Assumptions'!B7="","","• "&amp;'Assumptions'!B7&amp;". Controlled by "&amp;'Assumptions'!D7&amp;". If it fails: "&amp;'Assumptions'!I7)</f>
        <v/>
      </c>
      <c r="B26" s="27" t="n"/>
      <c r="C26" s="27" t="n"/>
      <c r="D26" s="28" t="n"/>
      <c r="E26" s="42">
        <f>IF('Assumptions'!B7="","","Risk "&amp;TEXT('Assumptions'!G7,"0")&amp;". "&amp;'Assumptions'!H7)</f>
        <v/>
      </c>
    </row>
    <row r="27" ht="40" customHeight="1">
      <c r="A27" s="24">
        <f>IF('Assumptions'!B8="","","• "&amp;'Assumptions'!B8&amp;". Controlled by "&amp;'Assumptions'!D8&amp;". If it fails: "&amp;'Assumptions'!I8)</f>
        <v/>
      </c>
      <c r="B27" s="27" t="n"/>
      <c r="C27" s="27" t="n"/>
      <c r="D27" s="28" t="n"/>
      <c r="E27" s="42">
        <f>IF('Assumptions'!B8="","","Risk "&amp;TEXT('Assumptions'!G8,"0")&amp;". "&amp;'Assumptions'!H8)</f>
        <v/>
      </c>
    </row>
    <row r="28" ht="40" customHeight="1">
      <c r="A28" s="24">
        <f>IF('Assumptions'!B9="","","• "&amp;'Assumptions'!B9&amp;". Controlled by "&amp;'Assumptions'!D9&amp;". If it fails: "&amp;'Assumptions'!I9)</f>
        <v/>
      </c>
      <c r="B28" s="27" t="n"/>
      <c r="C28" s="27" t="n"/>
      <c r="D28" s="28" t="n"/>
      <c r="E28" s="42">
        <f>IF('Assumptions'!B9="","","Risk "&amp;TEXT('Assumptions'!G9,"0")&amp;". "&amp;'Assumptions'!H9)</f>
        <v/>
      </c>
    </row>
    <row r="29" ht="40" customHeight="1">
      <c r="A29" s="24">
        <f>IF('Assumptions'!B10="","","• "&amp;'Assumptions'!B10&amp;". Controlled by "&amp;'Assumptions'!D10&amp;". If it fails: "&amp;'Assumptions'!I10)</f>
        <v/>
      </c>
      <c r="B29" s="27" t="n"/>
      <c r="C29" s="27" t="n"/>
      <c r="D29" s="28" t="n"/>
      <c r="E29" s="42">
        <f>IF('Assumptions'!B10="","","Risk "&amp;TEXT('Assumptions'!G10,"0")&amp;". "&amp;'Assumptions'!H10)</f>
        <v/>
      </c>
    </row>
    <row r="30" ht="40" customHeight="1">
      <c r="A30" s="24">
        <f>IF('Assumptions'!B11="","","• "&amp;'Assumptions'!B11&amp;". Controlled by "&amp;'Assumptions'!D11&amp;". If it fails: "&amp;'Assumptions'!I11)</f>
        <v/>
      </c>
      <c r="B30" s="27" t="n"/>
      <c r="C30" s="27" t="n"/>
      <c r="D30" s="28" t="n"/>
      <c r="E30" s="42">
        <f>IF('Assumptions'!B11="","","Risk "&amp;TEXT('Assumptions'!G11,"0")&amp;". "&amp;'Assumptions'!H11)</f>
        <v/>
      </c>
    </row>
    <row r="32" ht="20" customHeight="1">
      <c r="A32" s="4" t="inlineStr">
        <is>
          <t>READ IT BACK AS A SENTENCE: step seven</t>
        </is>
      </c>
      <c r="B32" s="5" t="n"/>
      <c r="C32" s="5" t="n"/>
      <c r="D32" s="5" t="n"/>
      <c r="E32" s="5" t="n"/>
    </row>
    <row r="33" ht="30" customHeight="1">
      <c r="A33" s="24">
        <f>"If we have "&amp;COUNTA('5 Inputs'!B7:B22)&amp;" priced inputs worth "&amp;TEXT('5 Inputs'!I28,"$#,##0")&amp;" in total, of which the funder is asked for "&amp;TEXT('5 Inputs'!I26,"$#,##0")&amp;", we can run "&amp;COUNTA('4 Activities'!B7:B15)&amp;" participant-facing activities across "&amp;TEXT('Program Setup'!B26,"0.0")&amp;" months, which produce "&amp;TEXT(SUM('3 Outputs'!D7:D15),"#,##0")&amp;" counted units of service including "&amp;TEXT('3 Outputs'!D8,"#,##0")&amp;" tutoring sessions for "&amp;TEXT('Program Setup'!B16,"#,##0")&amp;" participants, which lead to "&amp;COUNTA('2 Outcomes'!C7:C12)&amp;" measured outcomes, "&amp;'2 Outcomes'!N7&amp;IF('2 Outcomes'!C8="",""," And "&amp;'2 Outcomes'!N8)&amp;", which contribute to this: "&amp;'1 Impact'!B18</f>
        <v/>
      </c>
      <c r="B33" s="44" t="n"/>
      <c r="C33" s="44" t="n"/>
      <c r="D33" s="44" t="n"/>
      <c r="E33" s="45" t="n"/>
    </row>
    <row r="34">
      <c r="A34" s="46" t="n"/>
      <c r="E34" s="47" t="n"/>
    </row>
    <row r="35">
      <c r="A35" s="46" t="n"/>
      <c r="E35" s="47" t="n"/>
    </row>
    <row r="36">
      <c r="A36" s="48" t="n"/>
      <c r="B36" s="49" t="n"/>
      <c r="C36" s="49" t="n"/>
      <c r="D36" s="49" t="n"/>
      <c r="E36" s="50" t="n"/>
    </row>
    <row r="37">
      <c r="A37" s="3" t="inlineStr">
        <is>
          <t>If any link in that sentence needs a paragraph of explanation to make sense, the chain has a hole. Fix it on the register sheet, not here.</t>
        </is>
      </c>
    </row>
    <row r="39">
      <c r="A39" s="51">
        <f>'Chain Check'!C24</f>
        <v/>
      </c>
      <c r="B39" s="27" t="n"/>
      <c r="C39" s="27" t="n"/>
      <c r="D39" s="27" t="n"/>
      <c r="E39" s="28" t="n"/>
    </row>
    <row r="40">
      <c r="A40" s="3" t="inlineStr">
        <is>
          <t>Live verdict from the Chain Check tab.</t>
        </is>
      </c>
    </row>
    <row r="42">
      <c r="A42" s="15" t="inlineStr">
        <is>
          <t>GrantCue - grantcue.com/blog/logic-model-for-grant-writing</t>
        </is>
      </c>
    </row>
  </sheetData>
  <mergeCells count="14">
    <mergeCell ref="E13:E15"/>
    <mergeCell ref="A39:E39"/>
    <mergeCell ref="A27:D27"/>
    <mergeCell ref="A2:E2"/>
    <mergeCell ref="A26:D26"/>
    <mergeCell ref="A30:D30"/>
    <mergeCell ref="E7:E12"/>
    <mergeCell ref="A29:D29"/>
    <mergeCell ref="A1:E1"/>
    <mergeCell ref="A37:E37"/>
    <mergeCell ref="E16:E22"/>
    <mergeCell ref="A33:E36"/>
    <mergeCell ref="A28:D28"/>
    <mergeCell ref="A3:E3"/>
  </mergeCells>
  <pageMargins left="0.75" right="0.75" top="1" bottom="1" header="0.5" footer="0.5"/>
  <pageSetup orientation="landscape" fitToHeight="0" fitToWidth="1"/>
</worksheet>
</file>

<file path=xl/worksheets/sheet10.xml><?xml version="1.0" encoding="utf-8"?>
<worksheet xmlns="http://schemas.openxmlformats.org/spreadsheetml/2006/main">
  <sheetPr>
    <tabColor rgb="001F4E79"/>
    <outlinePr summaryBelow="1" summaryRight="1"/>
    <pageSetUpPr fitToPage="1"/>
  </sheetPr>
  <dimension ref="A1:E28"/>
  <sheetViews>
    <sheetView workbookViewId="0">
      <pane ySplit="6" topLeftCell="A7" activePane="bottomLeft" state="frozen"/>
      <selection pane="bottomLeft" activeCell="A1" sqref="A1"/>
    </sheetView>
  </sheetViews>
  <sheetFormatPr baseColWidth="8" defaultRowHeight="15"/>
  <cols>
    <col width="6" customWidth="1" min="1" max="1"/>
    <col width="54" customWidth="1" min="2" max="2"/>
    <col width="16" customWidth="1" min="3" max="3"/>
    <col width="12" customWidth="1" min="4" max="4"/>
    <col width="62" customWidth="1" min="5" max="5"/>
  </cols>
  <sheetData>
    <row r="1">
      <c r="A1" s="1" t="inlineStr">
        <is>
          <t>Chain Check</t>
        </is>
      </c>
    </row>
    <row r="2">
      <c r="A2" s="2" t="inlineStr">
        <is>
          <t>Fifteen tests of the logic, all live. Run this before the model goes into the application.</t>
        </is>
      </c>
    </row>
    <row r="3">
      <c r="A3" s="3" t="inlineStr">
        <is>
          <t>A reviewer who spots one contradiction has a reason to go looking for others.</t>
        </is>
      </c>
    </row>
    <row r="5" ht="20" customHeight="1">
      <c r="A5" s="4" t="inlineStr">
        <is>
          <t>THE TESTS</t>
        </is>
      </c>
      <c r="B5" s="5" t="n"/>
      <c r="C5" s="5" t="n"/>
      <c r="D5" s="5" t="n"/>
      <c r="E5" s="5" t="n"/>
    </row>
    <row r="6" ht="24" customHeight="1">
      <c r="A6" s="7" t="inlineStr">
        <is>
          <t>#</t>
        </is>
      </c>
      <c r="B6" s="7" t="inlineStr">
        <is>
          <t>Test</t>
        </is>
      </c>
      <c r="C6" s="7" t="inlineStr">
        <is>
          <t>Result</t>
        </is>
      </c>
      <c r="D6" s="7" t="inlineStr">
        <is>
          <t>Count</t>
        </is>
      </c>
      <c r="E6" s="7" t="inlineStr">
        <is>
          <t>What to do if it fails</t>
        </is>
      </c>
    </row>
    <row r="7" ht="40" customHeight="1">
      <c r="A7" s="68" t="n">
        <v>1</v>
      </c>
      <c r="B7" s="9" t="inlineStr">
        <is>
          <t>Every outcome names a measure or instrument</t>
        </is>
      </c>
      <c r="C7" s="52">
        <f>IF('2 Outcomes'!B19=0,"Pass","Fix")</f>
        <v/>
      </c>
      <c r="D7" s="67">
        <f>'2 Outcomes'!B19</f>
        <v/>
      </c>
      <c r="E7" s="26" t="inlineStr">
        <is>
          <t>Name the instrument that will produce the number at report time. If none exists, the outcome is not real yet, replace it with one the activities column already pays for.</t>
        </is>
      </c>
    </row>
    <row r="8" ht="40" customHeight="1">
      <c r="A8" s="68" t="n">
        <v>2</v>
      </c>
      <c r="B8" s="9" t="inlineStr">
        <is>
          <t>Every outcome names a data source</t>
        </is>
      </c>
      <c r="C8" s="52">
        <f>IF(COUNTIFS('2 Outcomes'!C7:C12,"&lt;&gt;",'2 Outcomes'!J7:J12,"")=0,"Pass","Fix")</f>
        <v/>
      </c>
      <c r="D8" s="67">
        <f>COUNTIFS('2 Outcomes'!C7:C12,"&lt;&gt;",'2 Outcomes'!J7:J12,"")</f>
        <v/>
      </c>
      <c r="E8" s="26" t="inlineStr">
        <is>
          <t>Say where the data physically lives: your own records, a partner's system, a survey you have not written yet.</t>
        </is>
      </c>
    </row>
    <row r="9" ht="40" customHeight="1">
      <c r="A9" s="68" t="n">
        <v>3</v>
      </c>
      <c r="B9" s="9" t="inlineStr">
        <is>
          <t>Every outcome carries a number and a date</t>
        </is>
      </c>
      <c r="C9" s="52">
        <f>IF('2 Outcomes'!B21+COUNTIFS('2 Outcomes'!C7:C12,"&lt;&gt;",'2 Outcomes'!E7:E12,"")=0,"Pass","Fix")</f>
        <v/>
      </c>
      <c r="D9" s="67">
        <f>'2 Outcomes'!B21+COUNTIFS('2 Outcomes'!C7:C12,"&lt;&gt;",'2 Outcomes'!E7:E12,"")</f>
        <v/>
      </c>
      <c r="E9" s="26" t="inlineStr">
        <is>
          <t>By when and by how much are two of the four questions. A target without both is an intention.</t>
        </is>
      </c>
    </row>
    <row r="10" ht="40" customHeight="1">
      <c r="A10" s="68" t="n">
        <v>4</v>
      </c>
      <c r="B10" s="9" t="inlineStr">
        <is>
          <t>Every outcome has an owner</t>
        </is>
      </c>
      <c r="C10" s="52">
        <f>IF('2 Outcomes'!B20=0,"Pass","Fix")</f>
        <v/>
      </c>
      <c r="D10" s="67">
        <f>'2 Outcomes'!B20</f>
        <v/>
      </c>
      <c r="E10" s="26" t="inlineStr">
        <is>
          <t>Assign the measure to a person, not a department. At report time an unowned number is the one that is late.</t>
        </is>
      </c>
    </row>
    <row r="11" ht="40" customHeight="1">
      <c r="A11" s="68" t="n">
        <v>5</v>
      </c>
      <c r="B11" s="9" t="inlineStr">
        <is>
          <t>No two outcomes repeat the same wording</t>
        </is>
      </c>
      <c r="C11" s="52">
        <f>IF('2 Outcomes'!B23="None","Pass","Fix")</f>
        <v/>
      </c>
      <c r="D11" s="67">
        <f>IF('2 Outcomes'!B23="None",0,1)</f>
        <v/>
      </c>
      <c r="E11" s="26" t="inlineStr">
        <is>
          <t>A medium-term outcome that restates the short-term one is visible to anyone reading down the page. Leave the row empty and say why.</t>
        </is>
      </c>
    </row>
    <row r="12" ht="40" customHeight="1">
      <c r="A12" s="68" t="n">
        <v>6</v>
      </c>
      <c r="B12" s="9" t="inlineStr">
        <is>
          <t>Every output links to an outcome</t>
        </is>
      </c>
      <c r="C12" s="52">
        <f>IF('3 Outputs'!B20=0,"Pass","Fix")</f>
        <v/>
      </c>
      <c r="D12" s="67">
        <f>'3 Outputs'!B20</f>
        <v/>
      </c>
      <c r="E12" s="26" t="inlineStr">
        <is>
          <t>Attach the output to the outcome it evidences, or take the row out. An orphan count is a number you will report and nobody will use.</t>
        </is>
      </c>
    </row>
    <row r="13" ht="40" customHeight="1">
      <c r="A13" s="68" t="n">
        <v>7</v>
      </c>
      <c r="B13" s="9" t="inlineStr">
        <is>
          <t>Every outcome has at least one output behind it</t>
        </is>
      </c>
      <c r="C13" s="52">
        <f>IF('3 Outputs'!B22=0,"Pass","Fix")</f>
        <v/>
      </c>
      <c r="D13" s="67">
        <f>'3 Outputs'!B22</f>
        <v/>
      </c>
      <c r="E13" s="26" t="inlineStr">
        <is>
          <t>An outcome with no output has no evidence that the work producing it happened.</t>
        </is>
      </c>
    </row>
    <row r="14" ht="40" customHeight="1">
      <c r="A14" s="68" t="n">
        <v>8</v>
      </c>
      <c r="B14" s="9" t="inlineStr">
        <is>
          <t>Output counts agree with the program arithmetic</t>
        </is>
      </c>
      <c r="C14" s="52">
        <f>IF('3 Outputs'!B21=0,"Pass","Fix")</f>
        <v/>
      </c>
      <c r="D14" s="67">
        <f>'3 Outputs'!B21</f>
        <v/>
      </c>
      <c r="E14" s="26" t="inlineStr">
        <is>
          <t>Two sessions a week across twenty-four weeks is forty-eight. A count carried over from a bigger schedule describes a program the budget does not fund.</t>
        </is>
      </c>
    </row>
    <row r="15" ht="40" customHeight="1">
      <c r="A15" s="68" t="n">
        <v>9</v>
      </c>
      <c r="B15" s="9" t="inlineStr">
        <is>
          <t>Every activity produces an output</t>
        </is>
      </c>
      <c r="C15" s="52">
        <f>IF('4 Activities'!B20=0,"Pass","Fix")</f>
        <v/>
      </c>
      <c r="D15" s="67">
        <f>'4 Activities'!B20</f>
        <v/>
      </c>
      <c r="E15" s="26" t="inlineStr">
        <is>
          <t>Ask who runs it on a Tuesday afternoon and what record comes out of it. If the answers are nobody and none, the activity comes out of the model.</t>
        </is>
      </c>
    </row>
    <row r="16" ht="40" customHeight="1">
      <c r="A16" s="68" t="n">
        <v>10</v>
      </c>
      <c r="B16" s="9" t="inlineStr">
        <is>
          <t>No project management tasks in the activities column</t>
        </is>
      </c>
      <c r="C16" s="52">
        <f>IF('4 Activities'!B21=0,"Pass","Fix")</f>
        <v/>
      </c>
      <c r="D16" s="67">
        <f>'4 Activities'!B21</f>
        <v/>
      </c>
      <c r="E16" s="26" t="inlineStr">
        <is>
          <t>Grant writing, hiring, board development and reporting go on the project plan. The activities column holds what you do for participants.</t>
        </is>
      </c>
    </row>
    <row r="17" ht="40" customHeight="1">
      <c r="A17" s="68" t="n">
        <v>11</v>
      </c>
      <c r="B17" s="9" t="inlineStr">
        <is>
          <t>Every activity has a delivery owner and a start date</t>
        </is>
      </c>
      <c r="C17" s="52">
        <f>IF('4 Activities'!B23+'4 Activities'!B24=0,"Pass","Fix")</f>
        <v/>
      </c>
      <c r="D17" s="67">
        <f>'4 Activities'!B23+'4 Activities'!B24</f>
        <v/>
      </c>
      <c r="E17" s="26" t="inlineStr">
        <is>
          <t>Every activity should appear on the timeline with a start date and an owner. One that appears only in the diagram is aspiration.</t>
        </is>
      </c>
    </row>
    <row r="18" ht="40" customHeight="1">
      <c r="A18" s="68" t="n">
        <v>12</v>
      </c>
      <c r="B18" s="9" t="inlineStr">
        <is>
          <t>Every input supports an activity and is priced</t>
        </is>
      </c>
      <c r="C18" s="52">
        <f>IF(COUNTIFS('5 Inputs'!B7:B22,"&lt;&gt;",'5 Inputs'!D7:D22,"")+COUNTIF('5 Inputs'!M7:M22,"Priced at zero*")=0,"Pass","Fix")</f>
        <v/>
      </c>
      <c r="D18" s="67">
        <f>COUNTIFS('5 Inputs'!B7:B22,"&lt;&gt;",'5 Inputs'!D7:D22,"")+COUNTIF('5 Inputs'!M7:M22,"Priced at zero*")</f>
        <v/>
      </c>
      <c r="E18" s="26" t="inlineStr">
        <is>
          <t>An input that supports nothing is either missing from the activities column or is not part of this project.</t>
        </is>
      </c>
    </row>
    <row r="19" ht="40" customHeight="1">
      <c r="A19" s="68" t="n">
        <v>13</v>
      </c>
      <c r="B19" s="9" t="inlineStr">
        <is>
          <t>The request sits inside the funder's ceiling</t>
        </is>
      </c>
      <c r="C19" s="52">
        <f>IF('5 Inputs'!I26&lt;='Program Setup'!B9,"Pass","Fix")</f>
        <v/>
      </c>
      <c r="D19" s="67">
        <f>IF('5 Inputs'!I26&lt;='Program Setup'!B9,0,1)</f>
        <v/>
      </c>
      <c r="E19" s="26" t="inlineStr">
        <is>
          <t>Cut inputs or reduce scope. Do not shave the indirect rate to squeeze under; a reviewer reads that as a budget you cannot deliver.</t>
        </is>
      </c>
    </row>
    <row r="20" ht="40" customHeight="1">
      <c r="A20" s="68" t="n">
        <v>14</v>
      </c>
      <c r="B20" s="9" t="inlineStr">
        <is>
          <t>The impact statement avoids ownership language</t>
        </is>
      </c>
      <c r="C20" s="52">
        <f>IF('1 Impact'!B35=0,"Pass","Fix")</f>
        <v/>
      </c>
      <c r="D20" s="67">
        <f>'1 Impact'!B35</f>
        <v/>
      </c>
      <c r="E20" s="26" t="inlineStr">
        <is>
          <t>Scale the impact statement to the size and length of the grant. Claiming a condition the arithmetic will not support invites the reviewer to check it.</t>
        </is>
      </c>
    </row>
    <row r="21" ht="40" customHeight="1">
      <c r="A21" s="68" t="n">
        <v>15</v>
      </c>
      <c r="B21" s="9" t="inlineStr">
        <is>
          <t>Every assumption has a fallback</t>
        </is>
      </c>
      <c r="C21" s="52">
        <f>IF('Assumptions'!B25=0,"Pass","Fix")</f>
        <v/>
      </c>
      <c r="D21" s="67">
        <f>'Assumptions'!B25</f>
        <v/>
      </c>
      <c r="E21" s="26" t="inlineStr">
        <is>
          <t>A named risk with no fallback reads worse than an unnamed one. One sentence is enough.</t>
        </is>
      </c>
    </row>
    <row r="22" ht="20" customHeight="1">
      <c r="A22" s="4" t="inlineStr">
        <is>
          <t>SCORE</t>
        </is>
      </c>
      <c r="B22" s="5" t="n"/>
      <c r="C22" s="5" t="n"/>
      <c r="D22" s="5" t="n"/>
      <c r="E22" s="5" t="n"/>
    </row>
    <row r="23">
      <c r="B23" s="8" t="inlineStr">
        <is>
          <t>Tests passed</t>
        </is>
      </c>
      <c r="C23" s="52">
        <f>COUNTIF(C7:C21,"Pass")&amp;" of 15"</f>
        <v/>
      </c>
      <c r="D23" s="69">
        <f>COUNTIF(C7:C21,"Pass")/15</f>
        <v/>
      </c>
      <c r="E23" s="26" t="inlineStr">
        <is>
          <t>Fifteen of fifteen is the target. Thirteen is a model that will survive a careful reviewer with two questions.</t>
        </is>
      </c>
    </row>
    <row r="24" ht="34" customHeight="1">
      <c r="B24" s="8" t="inlineStr">
        <is>
          <t>Verdict</t>
        </is>
      </c>
      <c r="C24" s="51">
        <f>IF(COUNTIF(C7:C21,"Fix")=0,"READY: the chain holds end to end. Read it back as a sentence on the One-Page Model tab, then attach it.","NOT READY, "&amp;COUNTIF(C7:C21,"Fix")&amp;" test(s) failing. Each one is a contradiction a reviewer can find, and a reviewer who finds one goes looking for others.")</f>
        <v/>
      </c>
      <c r="D24" s="27" t="n"/>
      <c r="E24" s="28" t="n"/>
    </row>
    <row r="25">
      <c r="B25" s="8" t="inlineStr">
        <is>
          <t>Chains in the model</t>
        </is>
      </c>
      <c r="C25" s="67">
        <f>COUNTA('2 Outcomes'!C7:C12)</f>
        <v/>
      </c>
      <c r="E25" s="42">
        <f>IF(COUNTA('2 Outcomes'!C7:C12)&gt;6,"More than six chains. It is a one-page format, and a dozen outcome chains crowded onto a page stop being readable at print size.","Fewer chains, each traced all the way through the five columns, does more for the application than a full page of half-finished ones.")</f>
        <v/>
      </c>
    </row>
    <row r="26" ht="40" customHeight="1">
      <c r="B26" s="8" t="inlineStr">
        <is>
          <t>Budget agreement</t>
        </is>
      </c>
      <c r="C26" s="54">
        <f>'5 Inputs'!I26</f>
        <v/>
      </c>
      <c r="E26" s="42">
        <f>"The inputs column prices out at "&amp;TEXT('5 Inputs'!I26,"$#,##0.00")&amp;" against a ceiling of "&amp;TEXT('Program Setup'!B9,"$#,##0")&amp;". The budget and the model are the same document in two formats; if the reviewer finds a difference, the budget wins and the model is discounted."</f>
        <v/>
      </c>
    </row>
    <row r="28">
      <c r="A28" s="15" t="inlineStr">
        <is>
          <t>GrantCue - grantcue.com/blog/logic-model-for-grant-writing</t>
        </is>
      </c>
    </row>
  </sheetData>
  <mergeCells count="1">
    <mergeCell ref="C24:E24"/>
  </mergeCells>
  <pageMargins left="0.75" right="0.75" top="1" bottom="1" header="0.5" footer="0.5"/>
  <pageSetup orientation="landscape" fitToHeight="0" fitToWidth="1"/>
</worksheet>
</file>

<file path=xl/worksheets/sheet11.xml><?xml version="1.0" encoding="utf-8"?>
<worksheet xmlns="http://schemas.openxmlformats.org/spreadsheetml/2006/main">
  <sheetPr>
    <tabColor rgb="002E5E8A"/>
    <outlinePr summaryBelow="1" summaryRight="1"/>
    <pageSetUpPr fitToPage="1"/>
  </sheetPr>
  <dimension ref="A1:D24"/>
  <sheetViews>
    <sheetView workbookViewId="0">
      <pane ySplit="6" topLeftCell="A7" activePane="bottomLeft" state="frozen"/>
      <selection pane="bottomLeft" activeCell="A1" sqref="A1"/>
    </sheetView>
  </sheetViews>
  <sheetFormatPr baseColWidth="8" defaultRowHeight="15"/>
  <cols>
    <col width="22" customWidth="1" min="1" max="1"/>
    <col width="30" customWidth="1" min="2" max="2"/>
    <col width="40" customWidth="1" min="3" max="3"/>
    <col width="76" customWidth="1" min="4" max="4"/>
  </cols>
  <sheetData>
    <row r="1">
      <c r="A1" s="1" t="inlineStr">
        <is>
          <t>Narrative Map: Turning the Columns Into Proposal Text</t>
        </is>
      </c>
    </row>
    <row r="2">
      <c r="A2" s="2" t="inlineStr">
        <is>
          <t>Each column of a finished logic model feeds a specific section of the application, so the model doubles as your drafting outline.</t>
        </is>
      </c>
    </row>
    <row r="3">
      <c r="A3" s="3" t="inlineStr">
        <is>
          <t>Column D assembles the text live from the register sheets. Write the outcome once and the objectives section and the evaluation plan carry identical wording.</t>
        </is>
      </c>
    </row>
    <row r="5" ht="20" customHeight="1">
      <c r="A5" s="4" t="inlineStr">
        <is>
          <t>COLUMN TO SECTION</t>
        </is>
      </c>
      <c r="B5" s="5" t="n"/>
      <c r="C5" s="5" t="n"/>
      <c r="D5" s="5" t="n"/>
    </row>
    <row r="6" ht="24" customHeight="1">
      <c r="A6" s="7" t="inlineStr">
        <is>
          <t>Logic model column</t>
        </is>
      </c>
      <c r="B6" s="7" t="inlineStr">
        <is>
          <t>Proposal section it feeds</t>
        </is>
      </c>
      <c r="C6" s="7" t="inlineStr">
        <is>
          <t>What carries across</t>
        </is>
      </c>
      <c r="D6" s="7" t="inlineStr">
        <is>
          <t>Draft text, assembled live</t>
        </is>
      </c>
    </row>
    <row r="7" ht="76" customHeight="1">
      <c r="A7" s="8" t="inlineStr">
        <is>
          <t>Impact</t>
        </is>
      </c>
      <c r="B7" s="9" t="inlineStr">
        <is>
          <t>Statement of need</t>
        </is>
      </c>
      <c r="C7" s="26" t="inlineStr">
        <is>
          <t>The condition you are naming and the scale you claim.</t>
        </is>
      </c>
      <c r="D7" s="24">
        <f>'1 Impact'!B18&amp;" "&amp;'1 Impact'!B20</f>
        <v/>
      </c>
    </row>
    <row r="8" ht="76" customHeight="1">
      <c r="A8" s="8" t="inlineStr">
        <is>
          <t>Outcomes</t>
        </is>
      </c>
      <c r="B8" s="9" t="inlineStr">
        <is>
          <t>Goals and objectives</t>
        </is>
      </c>
      <c r="C8" s="26" t="inlineStr">
        <is>
          <t>The measurable change, the population, and the timeframe.</t>
        </is>
      </c>
      <c r="D8" s="24">
        <f>IF('2 Outcomes'!C7="","Write the outcomes first.","Objective 1. "&amp;'2 Outcomes'!N7&amp;IF('2 Outcomes'!C8=""," "," Objective 2. "&amp;'2 Outcomes'!N8)&amp;IF('2 Outcomes'!C9=""," "," Objective 3. "&amp;'2 Outcomes'!N9))</f>
        <v/>
      </c>
    </row>
    <row r="9" ht="76" customHeight="1">
      <c r="A9" s="8" t="inlineStr">
        <is>
          <t>Outcomes plus indicators</t>
        </is>
      </c>
      <c r="B9" s="9" t="inlineStr">
        <is>
          <t>Evaluation plan</t>
        </is>
      </c>
      <c r="C9" s="26" t="inlineStr">
        <is>
          <t>Measures, data sources, collection schedule, targets.</t>
        </is>
      </c>
      <c r="D9" s="24">
        <f>IF('2 Outcomes'!C7="","Write the outcomes first.","We will measure whether "&amp;'2 Outcomes'!D7&amp;" "&amp;'2 Outcomes'!C7&amp;" using "&amp;'2 Outcomes'!I7&amp;", drawn from "&amp;'2 Outcomes'!J7&amp;", collected on this schedule: "&amp;'2 Outcomes'!K7&amp;". "&amp;'2 Outcomes'!L7&amp;" owns the measure. Baseline: "&amp;'2 Outcomes'!M7&amp;". Target: "&amp;TEXT('2 Outcomes'!F7,"#,##0")&amp;" of "&amp;TEXT('2 Outcomes'!G7,"#,##0")&amp;", "&amp;TEXT('2 Outcomes'!H7,"0%")&amp;", by "&amp;'2 Outcomes'!E7&amp;".")</f>
        <v/>
      </c>
    </row>
    <row r="10" ht="76" customHeight="1">
      <c r="A10" s="8" t="inlineStr">
        <is>
          <t>Outcomes plus indicators</t>
        </is>
      </c>
      <c r="B10" s="9" t="inlineStr">
        <is>
          <t>Evaluation plan, second outcome</t>
        </is>
      </c>
      <c r="C10" s="26" t="inlineStr">
        <is>
          <t>The same four elements for every remaining outcome.</t>
        </is>
      </c>
      <c r="D10" s="24">
        <f>IF('2 Outcomes'!C8="","Only one outcome is written.","We will measure whether "&amp;'2 Outcomes'!D8&amp;" "&amp;'2 Outcomes'!C8&amp;" using "&amp;'2 Outcomes'!I8&amp;", drawn from "&amp;'2 Outcomes'!J8&amp;", collected on this schedule: "&amp;'2 Outcomes'!K8&amp;". "&amp;'2 Outcomes'!L8&amp;" owns the measure. Baseline: "&amp;'2 Outcomes'!M8&amp;". Target: "&amp;TEXT('2 Outcomes'!F8,"#,##0")&amp;" of "&amp;TEXT('2 Outcomes'!G8,"#,##0")&amp;", "&amp;TEXT('2 Outcomes'!H8,"0%")&amp;", by "&amp;'2 Outcomes'!E8&amp;".")</f>
        <v/>
      </c>
    </row>
    <row r="11" ht="76" customHeight="1">
      <c r="A11" s="8" t="inlineStr">
        <is>
          <t>Activities</t>
        </is>
      </c>
      <c r="B11" s="9" t="inlineStr">
        <is>
          <t>Project description and workplan</t>
        </is>
      </c>
      <c r="C11" s="26" t="inlineStr">
        <is>
          <t>The service model, sequence, and staffing.</t>
        </is>
      </c>
      <c r="D11" s="24">
        <f>IF('4 Activities'!B7="","Write the activities first.",'4 Activities'!B7&amp;" ("&amp;'4 Activities'!C7&amp;", "&amp;'4 Activities'!D7&amp;"). "&amp;IF('4 Activities'!B8="","",'4 Activities'!B8&amp;" ("&amp;'4 Activities'!C8&amp;", "&amp;'4 Activities'!D8&amp;"). ")&amp;IF('4 Activities'!B9="","",'4 Activities'!B9&amp;" ("&amp;'4 Activities'!C9&amp;", "&amp;'4 Activities'!D9&amp;"). ")&amp;IF('4 Activities'!B10="","",'4 Activities'!B10&amp;" ("&amp;'4 Activities'!C10&amp;", "&amp;'4 Activities'!D10&amp;"). ")&amp;IF('4 Activities'!B11="","",'4 Activities'!B11&amp;" ("&amp;'4 Activities'!C11&amp;", "&amp;'4 Activities'!D11&amp;"). "))</f>
        <v/>
      </c>
    </row>
    <row r="12" ht="76" customHeight="1">
      <c r="A12" s="8" t="inlineStr">
        <is>
          <t>Outputs</t>
        </is>
      </c>
      <c r="B12" s="9" t="inlineStr">
        <is>
          <t>Reporting commitments</t>
        </is>
      </c>
      <c r="C12" s="26" t="inlineStr">
        <is>
          <t>The numbers you will report at each interim deadline.</t>
        </is>
      </c>
      <c r="D12" s="24">
        <f>IF('3 Outputs'!B7="","Write the outputs first.","Over the grant term the program will report: "&amp;TEXT('3 Outputs'!D7,"#,##0")&amp;" "&amp;'3 Outputs'!C7&amp;IF('3 Outputs'!B8="","","; "&amp;TEXT('3 Outputs'!D8,"#,##0")&amp;" "&amp;'3 Outputs'!C8)&amp;IF('3 Outputs'!B9="","","; "&amp;TEXT('3 Outputs'!D9,"#,##0")&amp;" "&amp;'3 Outputs'!C9)&amp;IF('3 Outputs'!B10="","","; "&amp;TEXT('3 Outputs'!D10,"#,##0")&amp;" "&amp;'3 Outputs'!C10)&amp;IF('3 Outputs'!B11="","","; "&amp;TEXT('3 Outputs'!D11,"#,##0")&amp;" "&amp;'3 Outputs'!C11)&amp;". Each figure comes from records the program already keeps.")</f>
        <v/>
      </c>
    </row>
    <row r="13" ht="76" customHeight="1">
      <c r="A13" s="8" t="inlineStr">
        <is>
          <t>Inputs</t>
        </is>
      </c>
      <c r="B13" s="9" t="inlineStr">
        <is>
          <t>Budget and budget narrative</t>
        </is>
      </c>
      <c r="C13" s="26" t="inlineStr">
        <is>
          <t>Personnel, space, materials, and the justification for each line.</t>
        </is>
      </c>
      <c r="D13" s="24">
        <f>IF('5 Inputs'!B7="","Price the inputs first.",'5 Inputs'!B7&amp;": "&amp;TEXT('5 Inputs'!I7,"$#,##0")&amp;". "&amp;'5 Inputs'!E7&amp;". "&amp;'5 Inputs'!B8&amp;": "&amp;TEXT('5 Inputs'!I8,"$#,##0")&amp;". "&amp;'5 Inputs'!E8&amp;". "&amp;'5 Inputs'!B9&amp;": "&amp;TEXT('5 Inputs'!I9,"$#,##0")&amp;". "&amp;'5 Inputs'!E9&amp;".")</f>
        <v/>
      </c>
    </row>
    <row r="14" ht="76" customHeight="1">
      <c r="A14" s="8" t="inlineStr">
        <is>
          <t>Inputs, in-kind</t>
        </is>
      </c>
      <c r="B14" s="9" t="inlineStr">
        <is>
          <t>Budget narrative, matching and in-kind</t>
        </is>
      </c>
      <c r="C14" s="26" t="inlineStr">
        <is>
          <t>What the community is putting in alongside the grant.</t>
        </is>
      </c>
      <c r="D14" s="24">
        <f>"The program carries "&amp;TEXT('5 Inputs'!I27,"$#,##0")&amp;" of documented in-kind support, "&amp;TEXT(IFERROR('5 Inputs'!I27/'5 Inputs'!I28,0),"0%")&amp;" of total project value: "&amp;'5 Inputs'!B17&amp;", "&amp;'5 Inputs'!B18&amp;" and "&amp;'5 Inputs'!B19&amp;"."</f>
        <v/>
      </c>
    </row>
    <row r="15" ht="76" customHeight="1">
      <c r="A15" s="8" t="inlineStr">
        <is>
          <t>Assumptions</t>
        </is>
      </c>
      <c r="B15" s="9" t="inlineStr">
        <is>
          <t>Risk and sustainability narrative</t>
        </is>
      </c>
      <c r="C15" s="26" t="inlineStr">
        <is>
          <t>What has to be true, and what you do if it is not.</t>
        </is>
      </c>
      <c r="D15" s="24">
        <f>"The plan depends on conditions the organisation does not fully control. "&amp;'Assumptions'!B7&amp;"; if it fails, "&amp;LOWER(LEFT('Assumptions'!I7,1))&amp;MID('Assumptions'!I7,2,400)&amp;" "&amp;'Assumptions'!B8&amp;"; if it fails, "&amp;LOWER(LEFT('Assumptions'!I8,1))&amp;MID('Assumptions'!I8,2,400)</f>
        <v/>
      </c>
    </row>
    <row r="16" ht="76" customHeight="1">
      <c r="A16" s="8" t="inlineStr">
        <is>
          <t>Outputs and outcomes together</t>
        </is>
      </c>
      <c r="B16" s="9" t="inlineStr">
        <is>
          <t>Reporting schedule at award time</t>
        </is>
      </c>
      <c r="C16" s="26" t="inlineStr">
        <is>
          <t>The dates you put on the calendar before the first report is due.</t>
        </is>
      </c>
      <c r="D16" s="24">
        <f>"At award the program will place "&amp;COUNTA('3 Outputs'!B7:B15)+COUNTA('2 Outcomes'!C7:C12)&amp;" collection dates on the calendar, each assigned to the staff member who owns the number, so the reporting view is populated months before the first deadline."</f>
        <v/>
      </c>
    </row>
    <row r="18" ht="20" customHeight="1">
      <c r="A18" s="4" t="inlineStr">
        <is>
          <t>DRAFTING NOTES</t>
        </is>
      </c>
      <c r="B18" s="5" t="n"/>
      <c r="C18" s="5" t="n"/>
      <c r="D18" s="5" t="n"/>
    </row>
    <row r="19" ht="46" customHeight="1">
      <c r="A19" s="6" t="inlineStr">
        <is>
          <t>Write the outcome text once and reuse it. The objectives section and the evaluation plan then carry identical wording, which is harder to achieve than it sounds when three people draft three sections in the same week.</t>
        </is>
      </c>
    </row>
    <row r="20" ht="46" customHeight="1">
      <c r="A20" s="6" t="inlineStr">
        <is>
          <t>The assembled text above is a first draft, not finished prose. It is correct, complete and consistent with the model; it still needs a human pass for rhythm and for the funder's vocabulary. What it guarantees is that no number, date, population or measure drifts between sections.</t>
        </is>
      </c>
    </row>
    <row r="21" ht="46" customHeight="1">
      <c r="A21" s="6" t="inlineStr">
        <is>
          <t>Funders differ on whether the model belongs in the narrative page count or in the appendix, and some ask for a narrative description with no diagram at all. Read the instructions before you design the page. When the instructions are silent, attach it as a labelled one-page appendix and reference it in the project description so the reviewer knows to look.</t>
        </is>
      </c>
    </row>
    <row r="22" ht="46" customHeight="1">
      <c r="A22" s="6" t="inlineStr">
        <is>
          <t>If a section of the application has no column feeding it, organisational capacity, sustainability, dissemination, that is normal. The logic model is not the whole proposal. It is the part that has to agree with itself.</t>
        </is>
      </c>
    </row>
    <row r="24">
      <c r="A24" s="15" t="inlineStr">
        <is>
          <t>GrantCue - grantcue.com/blog/logic-model-for-grant-writing</t>
        </is>
      </c>
    </row>
  </sheetData>
  <mergeCells count="4">
    <mergeCell ref="A22:D22"/>
    <mergeCell ref="A21:D21"/>
    <mergeCell ref="A20:D20"/>
    <mergeCell ref="A19:D19"/>
  </mergeCells>
  <pageMargins left="0.75" right="0.75" top="1" bottom="1" header="0.5" footer="0.5"/>
  <pageSetup orientation="landscape" fitToHeight="0" fitToWidth="1"/>
</worksheet>
</file>

<file path=xl/worksheets/sheet12.xml><?xml version="1.0" encoding="utf-8"?>
<worksheet xmlns="http://schemas.openxmlformats.org/spreadsheetml/2006/main">
  <sheetPr>
    <tabColor rgb="002E5E8A"/>
    <outlinePr summaryBelow="1" summaryRight="1"/>
    <pageSetUpPr fitToPage="1"/>
  </sheetPr>
  <dimension ref="A1:D45"/>
  <sheetViews>
    <sheetView workbookViewId="0">
      <pane ySplit="6" topLeftCell="A7" activePane="bottomLeft" state="frozen"/>
      <selection pane="bottomLeft" activeCell="A1" sqref="A1"/>
    </sheetView>
  </sheetViews>
  <sheetFormatPr baseColWidth="8" defaultRowHeight="15"/>
  <cols>
    <col width="42" customWidth="1" min="1" max="1"/>
    <col width="26" customWidth="1" min="2" max="2"/>
    <col width="52" customWidth="1" min="3" max="3"/>
    <col width="44" customWidth="1" min="4" max="4"/>
  </cols>
  <sheetData>
    <row r="1">
      <c r="A1" s="1" t="inlineStr">
        <is>
          <t>When the Funder's Template Does Not Use Five Columns</t>
        </is>
      </c>
    </row>
    <row r="2">
      <c r="A2" s="2" t="inlineStr">
        <is>
          <t>Funder templates rename the columns and sometimes split them, but the chain underneath stays the same. Map the headings on the form onto the five standard columns before you type anything into it.</t>
        </is>
      </c>
    </row>
    <row r="3">
      <c r="A3" s="3" t="inlineStr">
        <is>
          <t>Nothing standardises the labels, so read the column definitions in the instructions instead of trusting the column names.</t>
        </is>
      </c>
    </row>
    <row r="5" ht="20" customHeight="1">
      <c r="A5" s="4" t="inlineStr">
        <is>
          <t>COMMON RENAMINGS</t>
        </is>
      </c>
      <c r="B5" s="5" t="n"/>
      <c r="C5" s="5" t="n"/>
      <c r="D5" s="5" t="n"/>
    </row>
    <row r="6" ht="24" customHeight="1">
      <c r="A6" s="7" t="inlineStr">
        <is>
          <t>What the template calls it</t>
        </is>
      </c>
      <c r="B6" s="7" t="inlineStr">
        <is>
          <t>Where it belongs</t>
        </is>
      </c>
      <c r="C6" s="7" t="inlineStr">
        <is>
          <t>What to watch</t>
        </is>
      </c>
      <c r="D6" s="7" t="inlineStr">
        <is>
          <t>What to paste in from your model</t>
        </is>
      </c>
    </row>
    <row r="7" ht="46" customHeight="1">
      <c r="A7" s="8" t="inlineStr">
        <is>
          <t>Resources</t>
        </is>
      </c>
      <c r="B7" s="9" t="inlineStr">
        <is>
          <t>Inputs</t>
        </is>
      </c>
      <c r="C7" s="9" t="inlineStr">
        <is>
          <t>Same content, different label.</t>
        </is>
      </c>
      <c r="D7" s="26" t="inlineStr">
        <is>
          <t>The whole inputs column, priced.</t>
        </is>
      </c>
    </row>
    <row r="8" ht="46" customHeight="1">
      <c r="A8" s="8" t="inlineStr">
        <is>
          <t>Strategies, interventions, or approaches</t>
        </is>
      </c>
      <c r="B8" s="9" t="inlineStr">
        <is>
          <t>Activities</t>
        </is>
      </c>
      <c r="C8" s="9" t="inlineStr">
        <is>
          <t>Keep participant-facing work only. A strategy box invites organisational tasks that do not belong.</t>
        </is>
      </c>
      <c r="D8" s="26" t="inlineStr">
        <is>
          <t>The activities column, minus anything classified as project management.</t>
        </is>
      </c>
    </row>
    <row r="9" ht="46" customHeight="1">
      <c r="A9" s="8" t="inlineStr">
        <is>
          <t>Participation, reach, or people served</t>
        </is>
      </c>
      <c r="B9" s="9" t="inlineStr">
        <is>
          <t>Outputs</t>
        </is>
      </c>
      <c r="C9" s="9" t="inlineStr">
        <is>
          <t>Headcounts belong here, not beside the outcomes.</t>
        </is>
      </c>
      <c r="D9" s="26" t="inlineStr">
        <is>
          <t>Your enrolment and attendance outputs.</t>
        </is>
      </c>
    </row>
    <row r="10" ht="46" customHeight="1">
      <c r="A10" s="8" t="inlineStr">
        <is>
          <t>Short-term, intermediate, and long-term outcomes as three columns</t>
        </is>
      </c>
      <c r="B10" s="9" t="inlineStr">
        <is>
          <t>Outcomes, split by time</t>
        </is>
      </c>
      <c r="C10" s="9" t="inlineStr">
        <is>
          <t>The long-term column usually holds what the five-column version calls impact. It invites padding: if the program has two real outcomes, leave the third box empty and say why in a line of text.</t>
        </is>
      </c>
      <c r="D10" s="26" t="inlineStr">
        <is>
          <t>Short-term outcomes, then medium-term, then your impact statement in the long-term box.</t>
        </is>
      </c>
    </row>
    <row r="11" ht="46" customHeight="1">
      <c r="A11" s="8" t="inlineStr">
        <is>
          <t>Goal</t>
        </is>
      </c>
      <c r="B11" s="9" t="inlineStr">
        <is>
          <t>Impact, or a single top-line outcome</t>
        </is>
      </c>
      <c r="C11" s="9" t="inlineStr">
        <is>
          <t>Ask the program officer which one they mean. Guessing wastes the box.</t>
        </is>
      </c>
      <c r="D11" s="26" t="inlineStr">
        <is>
          <t>Either the impact sentence or your highest-level outcome, once you know which.</t>
        </is>
      </c>
    </row>
    <row r="12" ht="46" customHeight="1">
      <c r="A12" s="8" t="inlineStr">
        <is>
          <t>Objectives</t>
        </is>
      </c>
      <c r="B12" s="9" t="inlineStr">
        <is>
          <t>Outcomes</t>
        </is>
      </c>
      <c r="C12" s="9" t="inlineStr">
        <is>
          <t>Each one still needs a number and a date.</t>
        </is>
      </c>
      <c r="D12" s="26" t="inlineStr">
        <is>
          <t>The assembled outcome sentences from column N of the Outcomes sheet.</t>
        </is>
      </c>
    </row>
    <row r="13" ht="46" customHeight="1">
      <c r="A13" s="8" t="inlineStr">
        <is>
          <t>Indicators or measures</t>
        </is>
      </c>
      <c r="B13" s="9" t="inlineStr">
        <is>
          <t>Attached to each outcome</t>
        </is>
      </c>
      <c r="C13" s="9" t="inlineStr">
        <is>
          <t>The wording has to match the evaluation plan exactly.</t>
        </is>
      </c>
      <c r="D13" s="26" t="inlineStr">
        <is>
          <t>The measure and data source columns from the Outcomes sheet.</t>
        </is>
      </c>
    </row>
    <row r="14" ht="46" customHeight="1">
      <c r="A14" s="8" t="inlineStr">
        <is>
          <t>Rationale, assumptions, or theory</t>
        </is>
      </c>
      <c r="B14" s="9" t="inlineStr">
        <is>
          <t>The notes under the columns</t>
        </is>
      </c>
      <c r="C14" s="9" t="inlineStr">
        <is>
          <t>Write them even when the form has no box for them.</t>
        </is>
      </c>
      <c r="D14" s="26" t="inlineStr">
        <is>
          <t>Your assumptions with the fallback in a sentence.</t>
        </is>
      </c>
    </row>
    <row r="15" ht="46" customHeight="1">
      <c r="A15" s="8" t="inlineStr">
        <is>
          <t>Problem statement box at the far left</t>
        </is>
      </c>
      <c r="B15" s="9" t="inlineStr">
        <is>
          <t>Compressed statement of need</t>
        </is>
      </c>
      <c r="C15" s="9" t="inlineStr">
        <is>
          <t>That text is your statement of need in short form. Lift it from the narrative rather than writing it fresh, because a reviewer will read the two versions side by side.</t>
        </is>
      </c>
      <c r="D15" s="26" t="inlineStr">
        <is>
          <t>The condition and denominator from the Impact sheet.</t>
        </is>
      </c>
    </row>
    <row r="16" ht="46" customHeight="1">
      <c r="A16" s="8" t="inlineStr">
        <is>
          <t>Outcomes and outputs merged into one column</t>
        </is>
      </c>
      <c r="B16" s="9" t="inlineStr">
        <is>
          <t>Split them back apart in your working copy</t>
        </is>
      </c>
      <c r="C16" s="9" t="inlineStr">
        <is>
          <t>The merged box is where an outputs column dressed up as outcomes gets past a reviewer, and then fails at report time.</t>
        </is>
      </c>
      <c r="D16" s="26" t="inlineStr">
        <is>
          <t>Write the output count and the outcome change as two sentences in the one box.</t>
        </is>
      </c>
    </row>
    <row r="18" ht="20" customHeight="1">
      <c r="A18" s="4" t="inlineStr">
        <is>
          <t>MAP YOUR FUNDER'S FORM: type their headings, pick the column</t>
        </is>
      </c>
      <c r="B18" s="5" t="n"/>
      <c r="C18" s="5" t="n"/>
      <c r="D18" s="5" t="n"/>
    </row>
    <row r="19" ht="24" customHeight="1">
      <c r="A19" s="7" t="inlineStr">
        <is>
          <t>Heading printed on the funder's form</t>
        </is>
      </c>
      <c r="B19" s="7" t="inlineStr">
        <is>
          <t>Maps to</t>
        </is>
      </c>
      <c r="C19" s="7" t="inlineStr">
        <is>
          <t>Text to move across (live)</t>
        </is>
      </c>
      <c r="D19" s="7" t="inlineStr">
        <is>
          <t>Note</t>
        </is>
      </c>
    </row>
    <row r="20" ht="32" customHeight="1">
      <c r="A20" s="16" t="n"/>
      <c r="B20" s="16" t="n"/>
      <c r="C20" s="24">
        <f>IF($B20="","",IF($B20="Inputs","Your priced inputs, "&amp;TEXT('5 Inputs'!$I$26,"$#,##0")&amp;" grant funded plus "&amp;TEXT('5 Inputs'!$I$27,"$#,##0")&amp;" in-kind across "&amp;COUNTA('5 Inputs'!$B$7:$B$22)&amp;" lines.",IF($B20="Activities",COUNTA('4 Activities'!$B$7:$B$15)&amp;" participant-facing activities from the Activities sheet.",IF($B20="Outputs",TEXT(SUM('3 Outputs'!$D$7:$D$15),"#,##0")&amp;" units across "&amp;COUNTA('3 Outputs'!$B$7:$B$15)&amp;" counted outputs.",IF($B20="Outcomes",COUNTA('2 Outcomes'!$C$7:$C$12)&amp;" measured outcomes: "&amp;'2 Outcomes'!$N$7,IF($B20="Impact",'1 Impact'!$B$18,"Assumptions and fallbacks from the Assumptions sheet."))))))</f>
        <v/>
      </c>
      <c r="D20" s="16" t="n"/>
    </row>
    <row r="21" ht="32" customHeight="1">
      <c r="A21" s="16" t="n"/>
      <c r="B21" s="16" t="n"/>
      <c r="C21" s="24">
        <f>IF($B21="","",IF($B21="Inputs","Your priced inputs, "&amp;TEXT('5 Inputs'!$I$26,"$#,##0")&amp;" grant funded plus "&amp;TEXT('5 Inputs'!$I$27,"$#,##0")&amp;" in-kind across "&amp;COUNTA('5 Inputs'!$B$7:$B$22)&amp;" lines.",IF($B21="Activities",COUNTA('4 Activities'!$B$7:$B$15)&amp;" participant-facing activities from the Activities sheet.",IF($B21="Outputs",TEXT(SUM('3 Outputs'!$D$7:$D$15),"#,##0")&amp;" units across "&amp;COUNTA('3 Outputs'!$B$7:$B$15)&amp;" counted outputs.",IF($B21="Outcomes",COUNTA('2 Outcomes'!$C$7:$C$12)&amp;" measured outcomes: "&amp;'2 Outcomes'!$N$7,IF($B21="Impact",'1 Impact'!$B$18,"Assumptions and fallbacks from the Assumptions sheet."))))))</f>
        <v/>
      </c>
      <c r="D21" s="16" t="n"/>
    </row>
    <row r="22" ht="32" customHeight="1">
      <c r="A22" s="16" t="n"/>
      <c r="B22" s="16" t="n"/>
      <c r="C22" s="24">
        <f>IF($B22="","",IF($B22="Inputs","Your priced inputs, "&amp;TEXT('5 Inputs'!$I$26,"$#,##0")&amp;" grant funded plus "&amp;TEXT('5 Inputs'!$I$27,"$#,##0")&amp;" in-kind across "&amp;COUNTA('5 Inputs'!$B$7:$B$22)&amp;" lines.",IF($B22="Activities",COUNTA('4 Activities'!$B$7:$B$15)&amp;" participant-facing activities from the Activities sheet.",IF($B22="Outputs",TEXT(SUM('3 Outputs'!$D$7:$D$15),"#,##0")&amp;" units across "&amp;COUNTA('3 Outputs'!$B$7:$B$15)&amp;" counted outputs.",IF($B22="Outcomes",COUNTA('2 Outcomes'!$C$7:$C$12)&amp;" measured outcomes: "&amp;'2 Outcomes'!$N$7,IF($B22="Impact",'1 Impact'!$B$18,"Assumptions and fallbacks from the Assumptions sheet."))))))</f>
        <v/>
      </c>
      <c r="D22" s="16" t="n"/>
    </row>
    <row r="23" ht="32" customHeight="1">
      <c r="A23" s="16" t="n"/>
      <c r="B23" s="16" t="n"/>
      <c r="C23" s="24">
        <f>IF($B23="","",IF($B23="Inputs","Your priced inputs, "&amp;TEXT('5 Inputs'!$I$26,"$#,##0")&amp;" grant funded plus "&amp;TEXT('5 Inputs'!$I$27,"$#,##0")&amp;" in-kind across "&amp;COUNTA('5 Inputs'!$B$7:$B$22)&amp;" lines.",IF($B23="Activities",COUNTA('4 Activities'!$B$7:$B$15)&amp;" participant-facing activities from the Activities sheet.",IF($B23="Outputs",TEXT(SUM('3 Outputs'!$D$7:$D$15),"#,##0")&amp;" units across "&amp;COUNTA('3 Outputs'!$B$7:$B$15)&amp;" counted outputs.",IF($B23="Outcomes",COUNTA('2 Outcomes'!$C$7:$C$12)&amp;" measured outcomes: "&amp;'2 Outcomes'!$N$7,IF($B23="Impact",'1 Impact'!$B$18,"Assumptions and fallbacks from the Assumptions sheet."))))))</f>
        <v/>
      </c>
      <c r="D23" s="16" t="n"/>
    </row>
    <row r="24" ht="32" customHeight="1">
      <c r="A24" s="16" t="n"/>
      <c r="B24" s="16" t="n"/>
      <c r="C24" s="24">
        <f>IF($B24="","",IF($B24="Inputs","Your priced inputs, "&amp;TEXT('5 Inputs'!$I$26,"$#,##0")&amp;" grant funded plus "&amp;TEXT('5 Inputs'!$I$27,"$#,##0")&amp;" in-kind across "&amp;COUNTA('5 Inputs'!$B$7:$B$22)&amp;" lines.",IF($B24="Activities",COUNTA('4 Activities'!$B$7:$B$15)&amp;" participant-facing activities from the Activities sheet.",IF($B24="Outputs",TEXT(SUM('3 Outputs'!$D$7:$D$15),"#,##0")&amp;" units across "&amp;COUNTA('3 Outputs'!$B$7:$B$15)&amp;" counted outputs.",IF($B24="Outcomes",COUNTA('2 Outcomes'!$C$7:$C$12)&amp;" measured outcomes: "&amp;'2 Outcomes'!$N$7,IF($B24="Impact",'1 Impact'!$B$18,"Assumptions and fallbacks from the Assumptions sheet."))))))</f>
        <v/>
      </c>
      <c r="D24" s="16" t="n"/>
    </row>
    <row r="25" ht="32" customHeight="1">
      <c r="A25" s="16" t="n"/>
      <c r="B25" s="16" t="n"/>
      <c r="C25" s="24">
        <f>IF($B25="","",IF($B25="Inputs","Your priced inputs, "&amp;TEXT('5 Inputs'!$I$26,"$#,##0")&amp;" grant funded plus "&amp;TEXT('5 Inputs'!$I$27,"$#,##0")&amp;" in-kind across "&amp;COUNTA('5 Inputs'!$B$7:$B$22)&amp;" lines.",IF($B25="Activities",COUNTA('4 Activities'!$B$7:$B$15)&amp;" participant-facing activities from the Activities sheet.",IF($B25="Outputs",TEXT(SUM('3 Outputs'!$D$7:$D$15),"#,##0")&amp;" units across "&amp;COUNTA('3 Outputs'!$B$7:$B$15)&amp;" counted outputs.",IF($B25="Outcomes",COUNTA('2 Outcomes'!$C$7:$C$12)&amp;" measured outcomes: "&amp;'2 Outcomes'!$N$7,IF($B25="Impact",'1 Impact'!$B$18,"Assumptions and fallbacks from the Assumptions sheet."))))))</f>
        <v/>
      </c>
      <c r="D25" s="16" t="n"/>
    </row>
    <row r="26" ht="32" customHeight="1">
      <c r="A26" s="16" t="n"/>
      <c r="B26" s="16" t="n"/>
      <c r="C26" s="24">
        <f>IF($B26="","",IF($B26="Inputs","Your priced inputs, "&amp;TEXT('5 Inputs'!$I$26,"$#,##0")&amp;" grant funded plus "&amp;TEXT('5 Inputs'!$I$27,"$#,##0")&amp;" in-kind across "&amp;COUNTA('5 Inputs'!$B$7:$B$22)&amp;" lines.",IF($B26="Activities",COUNTA('4 Activities'!$B$7:$B$15)&amp;" participant-facing activities from the Activities sheet.",IF($B26="Outputs",TEXT(SUM('3 Outputs'!$D$7:$D$15),"#,##0")&amp;" units across "&amp;COUNTA('3 Outputs'!$B$7:$B$15)&amp;" counted outputs.",IF($B26="Outcomes",COUNTA('2 Outcomes'!$C$7:$C$12)&amp;" measured outcomes: "&amp;'2 Outcomes'!$N$7,IF($B26="Impact",'1 Impact'!$B$18,"Assumptions and fallbacks from the Assumptions sheet."))))))</f>
        <v/>
      </c>
      <c r="D26" s="16" t="n"/>
    </row>
    <row r="27" ht="32" customHeight="1">
      <c r="A27" s="16" t="n"/>
      <c r="B27" s="16" t="n"/>
      <c r="C27" s="24">
        <f>IF($B27="","",IF($B27="Inputs","Your priced inputs, "&amp;TEXT('5 Inputs'!$I$26,"$#,##0")&amp;" grant funded plus "&amp;TEXT('5 Inputs'!$I$27,"$#,##0")&amp;" in-kind across "&amp;COUNTA('5 Inputs'!$B$7:$B$22)&amp;" lines.",IF($B27="Activities",COUNTA('4 Activities'!$B$7:$B$15)&amp;" participant-facing activities from the Activities sheet.",IF($B27="Outputs",TEXT(SUM('3 Outputs'!$D$7:$D$15),"#,##0")&amp;" units across "&amp;COUNTA('3 Outputs'!$B$7:$B$15)&amp;" counted outputs.",IF($B27="Outcomes",COUNTA('2 Outcomes'!$C$7:$C$12)&amp;" measured outcomes: "&amp;'2 Outcomes'!$N$7,IF($B27="Impact",'1 Impact'!$B$18,"Assumptions and fallbacks from the Assumptions sheet."))))))</f>
        <v/>
      </c>
      <c r="D27" s="16" t="n"/>
    </row>
    <row r="28" ht="32" customHeight="1">
      <c r="A28" s="16" t="n"/>
      <c r="B28" s="16" t="n"/>
      <c r="C28" s="24">
        <f>IF($B28="","",IF($B28="Inputs","Your priced inputs, "&amp;TEXT('5 Inputs'!$I$26,"$#,##0")&amp;" grant funded plus "&amp;TEXT('5 Inputs'!$I$27,"$#,##0")&amp;" in-kind across "&amp;COUNTA('5 Inputs'!$B$7:$B$22)&amp;" lines.",IF($B28="Activities",COUNTA('4 Activities'!$B$7:$B$15)&amp;" participant-facing activities from the Activities sheet.",IF($B28="Outputs",TEXT(SUM('3 Outputs'!$D$7:$D$15),"#,##0")&amp;" units across "&amp;COUNTA('3 Outputs'!$B$7:$B$15)&amp;" counted outputs.",IF($B28="Outcomes",COUNTA('2 Outcomes'!$C$7:$C$12)&amp;" measured outcomes: "&amp;'2 Outcomes'!$N$7,IF($B28="Impact",'1 Impact'!$B$18,"Assumptions and fallbacks from the Assumptions sheet."))))))</f>
        <v/>
      </c>
      <c r="D28" s="16" t="n"/>
    </row>
    <row r="29" ht="32" customHeight="1">
      <c r="A29" s="16" t="n"/>
      <c r="B29" s="16" t="n"/>
      <c r="C29" s="24">
        <f>IF($B29="","",IF($B29="Inputs","Your priced inputs, "&amp;TEXT('5 Inputs'!$I$26,"$#,##0")&amp;" grant funded plus "&amp;TEXT('5 Inputs'!$I$27,"$#,##0")&amp;" in-kind across "&amp;COUNTA('5 Inputs'!$B$7:$B$22)&amp;" lines.",IF($B29="Activities",COUNTA('4 Activities'!$B$7:$B$15)&amp;" participant-facing activities from the Activities sheet.",IF($B29="Outputs",TEXT(SUM('3 Outputs'!$D$7:$D$15),"#,##0")&amp;" units across "&amp;COUNTA('3 Outputs'!$B$7:$B$15)&amp;" counted outputs.",IF($B29="Outcomes",COUNTA('2 Outcomes'!$C$7:$C$12)&amp;" measured outcomes: "&amp;'2 Outcomes'!$N$7,IF($B29="Impact",'1 Impact'!$B$18,"Assumptions and fallbacks from the Assumptions sheet."))))))</f>
        <v/>
      </c>
      <c r="D29" s="16" t="n"/>
    </row>
    <row r="30" ht="32" customHeight="1">
      <c r="A30" s="16" t="n"/>
      <c r="B30" s="16" t="n"/>
      <c r="C30" s="24">
        <f>IF($B30="","",IF($B30="Inputs","Your priced inputs, "&amp;TEXT('5 Inputs'!$I$26,"$#,##0")&amp;" grant funded plus "&amp;TEXT('5 Inputs'!$I$27,"$#,##0")&amp;" in-kind across "&amp;COUNTA('5 Inputs'!$B$7:$B$22)&amp;" lines.",IF($B30="Activities",COUNTA('4 Activities'!$B$7:$B$15)&amp;" participant-facing activities from the Activities sheet.",IF($B30="Outputs",TEXT(SUM('3 Outputs'!$D$7:$D$15),"#,##0")&amp;" units across "&amp;COUNTA('3 Outputs'!$B$7:$B$15)&amp;" counted outputs.",IF($B30="Outcomes",COUNTA('2 Outcomes'!$C$7:$C$12)&amp;" measured outcomes: "&amp;'2 Outcomes'!$N$7,IF($B30="Impact",'1 Impact'!$B$18,"Assumptions and fallbacks from the Assumptions sheet."))))))</f>
        <v/>
      </c>
      <c r="D30" s="16" t="n"/>
    </row>
    <row r="31" ht="32" customHeight="1">
      <c r="A31" s="16" t="n"/>
      <c r="B31" s="16" t="n"/>
      <c r="C31" s="24">
        <f>IF($B31="","",IF($B31="Inputs","Your priced inputs, "&amp;TEXT('5 Inputs'!$I$26,"$#,##0")&amp;" grant funded plus "&amp;TEXT('5 Inputs'!$I$27,"$#,##0")&amp;" in-kind across "&amp;COUNTA('5 Inputs'!$B$7:$B$22)&amp;" lines.",IF($B31="Activities",COUNTA('4 Activities'!$B$7:$B$15)&amp;" participant-facing activities from the Activities sheet.",IF($B31="Outputs",TEXT(SUM('3 Outputs'!$D$7:$D$15),"#,##0")&amp;" units across "&amp;COUNTA('3 Outputs'!$B$7:$B$15)&amp;" counted outputs.",IF($B31="Outcomes",COUNTA('2 Outcomes'!$C$7:$C$12)&amp;" measured outcomes: "&amp;'2 Outcomes'!$N$7,IF($B31="Impact",'1 Impact'!$B$18,"Assumptions and fallbacks from the Assumptions sheet."))))))</f>
        <v/>
      </c>
      <c r="D31" s="16" t="n"/>
    </row>
    <row r="33" ht="20" customHeight="1">
      <c r="A33" s="4" t="inlineStr">
        <is>
          <t>COVERAGE CHECK: live</t>
        </is>
      </c>
      <c r="B33" s="5" t="n"/>
      <c r="C33" s="5" t="n"/>
      <c r="D33" s="5" t="n"/>
    </row>
    <row r="34" ht="20" customHeight="1">
      <c r="A34" s="7" t="inlineStr">
        <is>
          <t>Column</t>
        </is>
      </c>
      <c r="B34" s="7" t="inlineStr">
        <is>
          <t>Times the form asks for it</t>
        </is>
      </c>
      <c r="C34" s="7" t="inlineStr">
        <is>
          <t>Verdict</t>
        </is>
      </c>
      <c r="D34" s="7" t="inlineStr"/>
    </row>
    <row r="35" ht="32" customHeight="1">
      <c r="A35" s="8" t="inlineStr">
        <is>
          <t>Inputs</t>
        </is>
      </c>
      <c r="B35" s="63">
        <f>COUNTIF($B$20:$B$31,A35)</f>
        <v/>
      </c>
      <c r="C35" s="24">
        <f>IF(COUNTA($A$20:$A$31)=0,"Enter the funder's headings above.",IF(B35=0,"The form never asks for this column. Keep it in your working copy anyway, the model is what you edit when the program changes.",IF(B35&gt;1,"The form splits this column across "&amp;B35&amp;" boxes. Decide which content goes where before you type.","Mapped to one box.")))</f>
        <v/>
      </c>
      <c r="D35" s="9" t="inlineStr"/>
    </row>
    <row r="36" ht="32" customHeight="1">
      <c r="A36" s="8" t="inlineStr">
        <is>
          <t>Activities</t>
        </is>
      </c>
      <c r="B36" s="63">
        <f>COUNTIF($B$20:$B$31,A36)</f>
        <v/>
      </c>
      <c r="C36" s="24">
        <f>IF(COUNTA($A$20:$A$31)=0,"Enter the funder's headings above.",IF(B36=0,"The form never asks for this column. Keep it in your working copy anyway, the model is what you edit when the program changes.",IF(B36&gt;1,"The form splits this column across "&amp;B36&amp;" boxes. Decide which content goes where before you type.","Mapped to one box.")))</f>
        <v/>
      </c>
      <c r="D36" s="9" t="inlineStr"/>
    </row>
    <row r="37" ht="32" customHeight="1">
      <c r="A37" s="8" t="inlineStr">
        <is>
          <t>Outputs</t>
        </is>
      </c>
      <c r="B37" s="63">
        <f>COUNTIF($B$20:$B$31,A37)</f>
        <v/>
      </c>
      <c r="C37" s="24">
        <f>IF(COUNTA($A$20:$A$31)=0,"Enter the funder's headings above.",IF(B37=0,"The form never asks for this column. Keep it in your working copy anyway, the model is what you edit when the program changes.",IF(B37&gt;1,"The form splits this column across "&amp;B37&amp;" boxes. Decide which content goes where before you type.","Mapped to one box.")))</f>
        <v/>
      </c>
      <c r="D37" s="9" t="inlineStr"/>
    </row>
    <row r="38" ht="32" customHeight="1">
      <c r="A38" s="8" t="inlineStr">
        <is>
          <t>Outcomes</t>
        </is>
      </c>
      <c r="B38" s="63">
        <f>COUNTIF($B$20:$B$31,A38)</f>
        <v/>
      </c>
      <c r="C38" s="24">
        <f>IF(COUNTA($A$20:$A$31)=0,"Enter the funder's headings above.",IF(B38=0,"The form never asks for this column. Keep it in your working copy anyway, the model is what you edit when the program changes.",IF(B38&gt;1,"The form splits this column across "&amp;B38&amp;" boxes. Decide which content goes where before you type.","Mapped to one box.")))</f>
        <v/>
      </c>
      <c r="D38" s="9" t="inlineStr"/>
    </row>
    <row r="39" ht="32" customHeight="1">
      <c r="A39" s="8" t="inlineStr">
        <is>
          <t>Impact</t>
        </is>
      </c>
      <c r="B39" s="63">
        <f>COUNTIF($B$20:$B$31,A39)</f>
        <v/>
      </c>
      <c r="C39" s="24">
        <f>IF(COUNTA($A$20:$A$31)=0,"Enter the funder's headings above.",IF(B39=0,"The form never asks for this column. Keep it in your working copy anyway, the model is what you edit when the program changes.",IF(B39&gt;1,"The form splits this column across "&amp;B39&amp;" boxes. Decide which content goes where before you type.","Mapped to one box.")))</f>
        <v/>
      </c>
      <c r="D39" s="9" t="inlineStr"/>
    </row>
    <row r="40" ht="32" customHeight="1">
      <c r="A40" s="8" t="inlineStr">
        <is>
          <t>Assumptions</t>
        </is>
      </c>
      <c r="B40" s="63">
        <f>COUNTIF($B$20:$B$31,A40)</f>
        <v/>
      </c>
      <c r="C40" s="24">
        <f>IF(COUNTA($A$20:$A$31)=0,"Enter the funder's headings above.",IF(B40=0,"The form never asks for this column. Keep it in your working copy anyway, the model is what you edit when the program changes.",IF(B40&gt;1,"The form splits this column across "&amp;B40&amp;" boxes. Decide which content goes where before you type.","Mapped to one box.")))</f>
        <v/>
      </c>
      <c r="D40" s="9" t="inlineStr"/>
    </row>
    <row r="41">
      <c r="A41" s="8" t="inlineStr">
        <is>
          <t>Headings mapped</t>
        </is>
      </c>
      <c r="B41" s="63">
        <f>COUNTA($A$20:$A$31)</f>
        <v/>
      </c>
      <c r="C41" s="24">
        <f>IF(COUNTA($A$20:$A$31)=0,"Nothing mapped yet.",IF(COUNTBLANK($B$20:$B$31)&gt;12-COUNTA($A$20:$A$31),"Some headings have no column assigned. Read the column definitions in the instructions rather than trusting the names.","Every heading you entered is mapped."))</f>
        <v/>
      </c>
      <c r="D41" s="9" t="inlineStr"/>
    </row>
    <row r="43" ht="32" customHeight="1">
      <c r="A43" s="55" t="inlineStr">
        <is>
          <t>Fill in the funder's form, then keep your own five-column version as the working copy. The form is an export. The model is what you edit when the program changes.</t>
        </is>
      </c>
    </row>
    <row r="45">
      <c r="A45" s="15" t="inlineStr">
        <is>
          <t>GrantCue - grantcue.com/blog/logic-model-for-grant-writing</t>
        </is>
      </c>
    </row>
  </sheetData>
  <mergeCells count="1">
    <mergeCell ref="A43:D43"/>
  </mergeCells>
  <dataValidations count="1">
    <dataValidation sqref="B20:B31" showDropDown="0" showInputMessage="0" showErrorMessage="0" allowBlank="1" type="list">
      <formula1>"Inputs,Activities,Outputs,Outcomes,Impact,Assumptions"</formula1>
    </dataValidation>
  </dataValidations>
  <pageMargins left="0.75" right="0.75" top="1" bottom="1" header="0.5" footer="0.5"/>
  <pageSetup orientation="landscape" fitToHeight="0" fitToWidth="1"/>
</worksheet>
</file>

<file path=xl/worksheets/sheet13.xml><?xml version="1.0" encoding="utf-8"?>
<worksheet xmlns="http://schemas.openxmlformats.org/spreadsheetml/2006/main">
  <sheetPr>
    <tabColor rgb="008A6D3B"/>
    <outlinePr summaryBelow="1" summaryRight="1"/>
    <pageSetUpPr fitToPage="1"/>
  </sheetPr>
  <dimension ref="A1:F34"/>
  <sheetViews>
    <sheetView workbookViewId="0">
      <pane ySplit="9" topLeftCell="A10" activePane="bottomLeft" state="frozen"/>
      <selection pane="bottomLeft" activeCell="A1" sqref="A1"/>
    </sheetView>
  </sheetViews>
  <sheetFormatPr baseColWidth="8" defaultRowHeight="15"/>
  <cols>
    <col width="6" customWidth="1" min="1" max="1"/>
    <col width="52" customWidth="1" min="2" max="2"/>
    <col width="14" customWidth="1" min="3" max="3"/>
    <col width="12" customWidth="1" min="4" max="4"/>
    <col width="22" customWidth="1" min="5" max="5"/>
    <col width="54" customWidth="1" min="6" max="6"/>
  </cols>
  <sheetData>
    <row r="1">
      <c r="A1" s="1" t="inlineStr">
        <is>
          <t>Outputs or Outcomes: the Distinction the Format Exists to Protect</t>
        </is>
      </c>
    </row>
    <row r="2">
      <c r="A2" s="2" t="inlineStr">
        <is>
          <t>An output is a count of what the program produced. An outcome is a change in the people or conditions the program touched.</t>
        </is>
      </c>
    </row>
    <row r="3">
      <c r="A3" s="3" t="inlineStr">
        <is>
          <t>Confusing the two turns the outcomes column into a second count of the same work, which is the failure mode this format exists to prevent.</t>
        </is>
      </c>
    </row>
    <row r="5" ht="20" customHeight="1">
      <c r="A5" s="4" t="inlineStr">
        <is>
          <t>THE TEST</t>
        </is>
      </c>
      <c r="B5" s="5" t="n"/>
      <c r="C5" s="5" t="n"/>
      <c r="D5" s="5" t="n"/>
      <c r="E5" s="5" t="n"/>
      <c r="F5" s="5" t="n"/>
    </row>
    <row r="6" ht="32" customHeight="1">
      <c r="A6" s="55" t="inlineStr">
        <is>
          <t>A number that could be pulled from a sign-in sheet is an output. A finding that requires a before-and-after measure, or a comparison against a standard, is an outcome. Outputs prove effort. Outcomes prove effect.</t>
        </is>
      </c>
    </row>
    <row r="8" ht="20" customHeight="1">
      <c r="A8" s="4" t="inlineStr">
        <is>
          <t>SELF-TEST: type O for output or C for outcome in the third column</t>
        </is>
      </c>
      <c r="B8" s="5" t="n"/>
      <c r="C8" s="5" t="n"/>
      <c r="D8" s="5" t="n"/>
      <c r="E8" s="5" t="n"/>
      <c r="F8" s="5" t="n"/>
    </row>
    <row r="9" ht="24" customHeight="1">
      <c r="A9" s="7" t="inlineStr">
        <is>
          <t>#</t>
        </is>
      </c>
      <c r="B9" s="7" t="inlineStr">
        <is>
          <t>Statement</t>
        </is>
      </c>
      <c r="C9" s="7" t="inlineStr">
        <is>
          <t>Your call</t>
        </is>
      </c>
      <c r="D9" s="7" t="inlineStr">
        <is>
          <t>Answer</t>
        </is>
      </c>
      <c r="E9" s="7" t="inlineStr">
        <is>
          <t>Graded (live)</t>
        </is>
      </c>
      <c r="F9" s="7" t="inlineStr">
        <is>
          <t>Why, and how to rewrite it</t>
        </is>
      </c>
    </row>
    <row r="10" ht="32" customHeight="1">
      <c r="A10" s="68" t="n">
        <v>1</v>
      </c>
      <c r="B10" s="9" t="inlineStr">
        <is>
          <t>200 people attended our workshops</t>
        </is>
      </c>
      <c r="C10" s="56" t="n"/>
      <c r="D10" s="13" t="inlineStr">
        <is>
          <t>O</t>
        </is>
      </c>
      <c r="E10" s="24">
        <f>IF(C10="","",IF(UPPER(LEFT(C10,1))=D10,"Correct","Not quite, it is "&amp;IF(D10="O","an output","an outcome")))</f>
        <v/>
      </c>
      <c r="F10" s="26" t="inlineStr">
        <is>
          <t>An attendance count. Rewrite the outcome as: 70 percent of attendees pass the certification exam within ninety days.</t>
        </is>
      </c>
    </row>
    <row r="11" ht="32" customHeight="1">
      <c r="A11" s="68" t="n">
        <v>2</v>
      </c>
      <c r="B11" s="9" t="inlineStr">
        <is>
          <t>70 percent of attendees passed the certification exam</t>
        </is>
      </c>
      <c r="C11" s="56" t="n"/>
      <c r="D11" s="13" t="inlineStr">
        <is>
          <t>C</t>
        </is>
      </c>
      <c r="E11" s="24">
        <f>IF(C11="","",IF(UPPER(LEFT(C11,1))=D11,"Correct","Not quite, it is "&amp;IF(D11="O","an output","an outcome")))</f>
        <v/>
      </c>
      <c r="F11" s="26" t="inlineStr">
        <is>
          <t>A change in status, measured against a standard the program did not set.</t>
        </is>
      </c>
    </row>
    <row r="12" ht="32" customHeight="1">
      <c r="A12" s="68" t="n">
        <v>3</v>
      </c>
      <c r="B12" s="9" t="inlineStr">
        <is>
          <t>We distributed 500 food boxes</t>
        </is>
      </c>
      <c r="C12" s="56" t="n"/>
      <c r="D12" s="13" t="inlineStr">
        <is>
          <t>O</t>
        </is>
      </c>
      <c r="E12" s="24">
        <f>IF(C12="","",IF(UPPER(LEFT(C12,1))=D12,"Correct","Not quite, it is "&amp;IF(D12="O","an output","an outcome")))</f>
        <v/>
      </c>
      <c r="F12" s="26" t="inlineStr">
        <is>
          <t>A distribution count. Rewrite as: participating households report fewer days of skipped meals at the six-month survey.</t>
        </is>
      </c>
    </row>
    <row r="13" ht="32" customHeight="1">
      <c r="A13" s="68" t="n">
        <v>4</v>
      </c>
      <c r="B13" s="9" t="inlineStr">
        <is>
          <t>Participating households report fewer days of skipped meals</t>
        </is>
      </c>
      <c r="C13" s="56" t="n"/>
      <c r="D13" s="13" t="inlineStr">
        <is>
          <t>C</t>
        </is>
      </c>
      <c r="E13" s="24">
        <f>IF(C13="","",IF(UPPER(LEFT(C13,1))=D13,"Correct","Not quite, it is "&amp;IF(D13="O","an output","an outcome")))</f>
        <v/>
      </c>
      <c r="F13" s="26" t="inlineStr">
        <is>
          <t>A before-and-after change in the condition of the people served.</t>
        </is>
      </c>
    </row>
    <row r="14" ht="32" customHeight="1">
      <c r="A14" s="68" t="n">
        <v>5</v>
      </c>
      <c r="B14" s="9" t="inlineStr">
        <is>
          <t>Staff completed 40 hours of training</t>
        </is>
      </c>
      <c r="C14" s="56" t="n"/>
      <c r="D14" s="13" t="inlineStr">
        <is>
          <t>O</t>
        </is>
      </c>
      <c r="E14" s="24">
        <f>IF(C14="","",IF(UPPER(LEFT(C14,1))=D14,"Correct","Not quite, it is "&amp;IF(D14="O","an output","an outcome")))</f>
        <v/>
      </c>
      <c r="F14" s="26" t="inlineStr">
        <is>
          <t>A training count. Rewrite as: case managers apply the new screening protocol at intake, verified by chart review.</t>
        </is>
      </c>
    </row>
    <row r="15" ht="32" customHeight="1">
      <c r="A15" s="68" t="n">
        <v>6</v>
      </c>
      <c r="B15" s="9" t="inlineStr">
        <is>
          <t>Case managers apply the new screening protocol at intake</t>
        </is>
      </c>
      <c r="C15" s="56" t="n"/>
      <c r="D15" s="13" t="inlineStr">
        <is>
          <t>C</t>
        </is>
      </c>
      <c r="E15" s="24">
        <f>IF(C15="","",IF(UPPER(LEFT(C15,1))=D15,"Correct","Not quite, it is "&amp;IF(D15="O","an output","an outcome")))</f>
        <v/>
      </c>
      <c r="F15" s="26" t="inlineStr">
        <is>
          <t>A change in professional practice, which is a medium-term outcome.</t>
        </is>
      </c>
    </row>
    <row r="16" ht="32" customHeight="1">
      <c r="A16" s="68" t="n">
        <v>7</v>
      </c>
      <c r="B16" s="9" t="inlineStr">
        <is>
          <t>48 tutoring sessions were delivered</t>
        </is>
      </c>
      <c r="C16" s="56" t="n"/>
      <c r="D16" s="13" t="inlineStr">
        <is>
          <t>O</t>
        </is>
      </c>
      <c r="E16" s="24">
        <f>IF(C16="","",IF(UPPER(LEFT(C16,1))=D16,"Correct","Not quite, it is "&amp;IF(D16="O","an output","an outcome")))</f>
        <v/>
      </c>
      <c r="F16" s="26" t="inlineStr">
        <is>
          <t>A delivery count from the sign-in sheets. It proves the work happened, not that anything changed.</t>
        </is>
      </c>
    </row>
    <row r="17" ht="32" customHeight="1">
      <c r="A17" s="68" t="n">
        <v>8</v>
      </c>
      <c r="B17" s="9" t="inlineStr">
        <is>
          <t>Participating students advance at least one reading level</t>
        </is>
      </c>
      <c r="C17" s="56" t="n"/>
      <c r="D17" s="13" t="inlineStr">
        <is>
          <t>C</t>
        </is>
      </c>
      <c r="E17" s="24">
        <f>IF(C17="","",IF(UPPER(LEFT(C17,1))=D17,"Correct","Not quite, it is "&amp;IF(D17="O","an output","an outcome")))</f>
        <v/>
      </c>
      <c r="F17" s="26" t="inlineStr">
        <is>
          <t>A measured change in the participants, requiring a fall and a spring administration.</t>
        </is>
      </c>
    </row>
    <row r="18" ht="32" customHeight="1">
      <c r="A18" s="68" t="n">
        <v>9</v>
      </c>
      <c r="B18" s="9" t="inlineStr">
        <is>
          <t>12 volunteers were recruited and trained</t>
        </is>
      </c>
      <c r="C18" s="56" t="n"/>
      <c r="D18" s="13" t="inlineStr">
        <is>
          <t>O</t>
        </is>
      </c>
      <c r="E18" s="24">
        <f>IF(C18="","",IF(UPPER(LEFT(C18,1))=D18,"Correct","Not quite, it is "&amp;IF(D18="O","an output","an outcome")))</f>
        <v/>
      </c>
      <c r="F18" s="26" t="inlineStr">
        <is>
          <t>A count of people through a process. It is a legitimate output and belongs in that column.</t>
        </is>
      </c>
    </row>
    <row r="19" ht="32" customHeight="1">
      <c r="A19" s="68" t="n">
        <v>10</v>
      </c>
      <c r="B19" s="9" t="inlineStr">
        <is>
          <t>Volunteers who complete training stay for the full program year at a higher rate</t>
        </is>
      </c>
      <c r="C19" s="56" t="n"/>
      <c r="D19" s="13" t="inlineStr">
        <is>
          <t>C</t>
        </is>
      </c>
      <c r="E19" s="24">
        <f>IF(C19="","",IF(UPPER(LEFT(C19,1))=D19,"Correct","Not quite, it is "&amp;IF(D19="O","an output","an outcome")))</f>
        <v/>
      </c>
      <c r="F19" s="26" t="inlineStr">
        <is>
          <t>A change in behaviour, measured against a prior-year retention figure.</t>
        </is>
      </c>
    </row>
    <row r="20" ht="32" customHeight="1">
      <c r="A20" s="68" t="n">
        <v>11</v>
      </c>
      <c r="B20" s="9" t="inlineStr">
        <is>
          <t>Our website received 15,000 visits</t>
        </is>
      </c>
      <c r="C20" s="56" t="n"/>
      <c r="D20" s="13" t="inlineStr">
        <is>
          <t>O</t>
        </is>
      </c>
      <c r="E20" s="24">
        <f>IF(C20="","",IF(UPPER(LEFT(C20,1))=D20,"Correct","Not quite, it is "&amp;IF(D20="O","an output","an outcome")))</f>
        <v/>
      </c>
      <c r="F20" s="26" t="inlineStr">
        <is>
          <t>A traffic count. It is an output at best, and often not worth reporting at all.</t>
        </is>
      </c>
    </row>
    <row r="21" ht="32" customHeight="1">
      <c r="A21" s="68" t="n">
        <v>12</v>
      </c>
      <c r="B21" s="9" t="inlineStr">
        <is>
          <t>Clients who used the online tool completed their applications more often than those who did not</t>
        </is>
      </c>
      <c r="C21" s="56" t="n"/>
      <c r="D21" s="13" t="inlineStr">
        <is>
          <t>C</t>
        </is>
      </c>
      <c r="E21" s="24">
        <f>IF(C21="","",IF(UPPER(LEFT(C21,1))=D21,"Correct","Not quite, it is "&amp;IF(D21="O","an output","an outcome")))</f>
        <v/>
      </c>
      <c r="F21" s="26" t="inlineStr">
        <is>
          <t>A comparison between two groups. The comparison is what makes it an outcome.</t>
        </is>
      </c>
    </row>
    <row r="22" ht="32" customHeight="1">
      <c r="A22" s="68" t="n">
        <v>13</v>
      </c>
      <c r="B22" s="9" t="inlineStr">
        <is>
          <t>We held 2 family literacy nights</t>
        </is>
      </c>
      <c r="C22" s="56" t="n"/>
      <c r="D22" s="13" t="inlineStr">
        <is>
          <t>O</t>
        </is>
      </c>
      <c r="E22" s="24">
        <f>IF(C22="","",IF(UPPER(LEFT(C22,1))=D22,"Correct","Not quite, it is "&amp;IF(D22="O","an output","an outcome")))</f>
        <v/>
      </c>
      <c r="F22" s="26" t="inlineStr">
        <is>
          <t>An event count. Rewrite the outcome as: families of enrolled students read aloud at home at least three times a week.</t>
        </is>
      </c>
    </row>
    <row r="23" ht="32" customHeight="1">
      <c r="A23" s="68" t="n">
        <v>14</v>
      </c>
      <c r="B23" s="9" t="inlineStr">
        <is>
          <t>Families of enrolled students read aloud at home at least three times a week</t>
        </is>
      </c>
      <c r="C23" s="56" t="n"/>
      <c r="D23" s="13" t="inlineStr">
        <is>
          <t>C</t>
        </is>
      </c>
      <c r="E23" s="24">
        <f>IF(C23="","",IF(UPPER(LEFT(C23,1))=D23,"Correct","Not quite, it is "&amp;IF(D23="O","an output","an outcome")))</f>
        <v/>
      </c>
      <c r="F23" s="26" t="inlineStr">
        <is>
          <t>A change in household behaviour, measured by a short survey at each event.</t>
        </is>
      </c>
    </row>
    <row r="25">
      <c r="B25" s="8" t="inlineStr">
        <is>
          <t>Answered</t>
        </is>
      </c>
      <c r="C25" s="67">
        <f>COUNTA(C10:C23)</f>
        <v/>
      </c>
      <c r="E25" s="24">
        <f>COUNTIF(E10:E23,"Correct")&amp;" correct of "&amp;COUNTA(C10:C23)&amp;" answered"</f>
        <v/>
      </c>
      <c r="F25" s="42">
        <f>IF(COUNTA(C10:C23)=0,"Answer the fourteen above.",IF(COUNTIF(E10:E23,"Correct")/COUNTA(C10:C23)&gt;=0.9,"You have the distinction. Now check your own outcomes column against it.","Re-read the test at the top: a number from a sign-in sheet is an output."))</f>
        <v/>
      </c>
    </row>
    <row r="26">
      <c r="B26" s="8" t="inlineStr">
        <is>
          <t>Score</t>
        </is>
      </c>
      <c r="C26" s="69">
        <f>IFERROR(COUNTIF(E10:E23,"Correct")/COUNTA(C10:C23),"")</f>
        <v/>
      </c>
      <c r="E26" s="24">
        <f>COUNTIF(E10:E23,"Not quite*")&amp;" to look at again"</f>
        <v/>
      </c>
      <c r="F26" s="9" t="inlineStr"/>
    </row>
    <row r="28" ht="20" customHeight="1">
      <c r="A28" s="4" t="inlineStr">
        <is>
          <t>FOUR MORE ERRORS THAT SHOW UP REPEATEDLY</t>
        </is>
      </c>
      <c r="B28" s="5" t="n"/>
      <c r="C28" s="5" t="n"/>
      <c r="D28" s="5" t="n"/>
      <c r="E28" s="5" t="n"/>
      <c r="F28" s="5" t="n"/>
    </row>
    <row r="29" ht="46" customHeight="1">
      <c r="A29" s="9" t="inlineStr"/>
      <c r="B29" s="8" t="inlineStr">
        <is>
          <t>The activities column turns into a to-do list.</t>
        </is>
      </c>
      <c r="C29" s="9" t="inlineStr">
        <is>
          <t>Grant writing, hiring and reporting are project management tasks, not program activities. The activities column holds what you do for participants. The Activities sheet flags any row you classify as project management.</t>
        </is>
      </c>
      <c r="D29" s="27" t="n"/>
      <c r="E29" s="27" t="n"/>
      <c r="F29" s="28" t="n"/>
    </row>
    <row r="30" ht="46" customHeight="1">
      <c r="A30" s="9" t="inlineStr"/>
      <c r="B30" s="8" t="inlineStr">
        <is>
          <t>The impact claim outruns the award.</t>
        </is>
      </c>
      <c r="C30" s="9" t="inlineStr">
        <is>
          <t>Scale the impact statement to the size and length of the grant. A one-year, single-site project that claims a county-wide condition change is promising more than the money buys. The Impact sheet scores your reach against the population you named and scans for ownership language.</t>
        </is>
      </c>
      <c r="D30" s="27" t="n"/>
      <c r="E30" s="27" t="n"/>
      <c r="F30" s="28" t="n"/>
    </row>
    <row r="31" ht="46" customHeight="1">
      <c r="A31" s="9" t="inlineStr"/>
      <c r="B31" s="8" t="inlineStr">
        <is>
          <t>The model runs to too many rows.</t>
        </is>
      </c>
      <c r="C31" s="9" t="inlineStr">
        <is>
          <t>It is a one-page format, and a dozen outcome chains crowded onto a page stop being readable at print size. Fewer chains, each one traced all the way through the five columns, does more for the application than a full page of half-finished ones. The Chain Check flags more than six.</t>
        </is>
      </c>
      <c r="D31" s="27" t="n"/>
      <c r="E31" s="27" t="n"/>
      <c r="F31" s="28" t="n"/>
    </row>
    <row r="32" ht="46" customHeight="1">
      <c r="A32" s="9" t="inlineStr"/>
      <c r="B32" s="8" t="inlineStr">
        <is>
          <t>You build the model after the narrative is finished.</t>
        </is>
      </c>
      <c r="C32" s="9" t="inlineStr">
        <is>
          <t>Reverse-engineering a diagram from finished text reproduces whatever gaps the narrative already has. Build it during planning and edit both together. This is the one error no formula can catch for you.</t>
        </is>
      </c>
      <c r="D32" s="27" t="n"/>
      <c r="E32" s="27" t="n"/>
      <c r="F32" s="28" t="n"/>
    </row>
    <row r="34">
      <c r="A34" s="15" t="inlineStr">
        <is>
          <t>GrantCue - grantcue.com/blog/logic-model-for-grant-writing</t>
        </is>
      </c>
    </row>
  </sheetData>
  <mergeCells count="5">
    <mergeCell ref="C31:F31"/>
    <mergeCell ref="C29:F29"/>
    <mergeCell ref="C30:F30"/>
    <mergeCell ref="A6:F6"/>
    <mergeCell ref="C32:F32"/>
  </mergeCells>
  <dataValidations count="1">
    <dataValidation sqref="C10:C23" showDropDown="0" showInputMessage="0" showErrorMessage="0" allowBlank="1" type="list">
      <formula1>"O,C"</formula1>
    </dataValidation>
  </dataValidations>
  <pageMargins left="0.75" right="0.75" top="1" bottom="1" header="0.5" footer="0.5"/>
  <pageSetup orientation="landscape" fitToHeight="0" fitToWidth="1"/>
</worksheet>
</file>

<file path=xl/worksheets/sheet14.xml><?xml version="1.0" encoding="utf-8"?>
<worksheet xmlns="http://schemas.openxmlformats.org/spreadsheetml/2006/main">
  <sheetPr>
    <tabColor rgb="008A6D3B"/>
    <outlinePr summaryBelow="1" summaryRight="1"/>
    <pageSetUpPr fitToPage="1"/>
  </sheetPr>
  <dimension ref="A1:G46"/>
  <sheetViews>
    <sheetView workbookViewId="0">
      <pane ySplit="6" topLeftCell="A7" activePane="bottomLeft" state="frozen"/>
      <selection pane="bottomLeft" activeCell="A1" sqref="A1"/>
    </sheetView>
  </sheetViews>
  <sheetFormatPr baseColWidth="8" defaultRowHeight="15"/>
  <cols>
    <col width="38" customWidth="1" min="1" max="1"/>
    <col width="40" customWidth="1" min="2" max="2"/>
    <col width="34" customWidth="1" min="3" max="3"/>
    <col width="48" customWidth="1" min="4" max="4"/>
    <col width="40" customWidth="1" min="5" max="5"/>
    <col width="14" customWidth="1" min="6" max="6"/>
    <col width="14" customWidth="1" min="7" max="7"/>
  </cols>
  <sheetData>
    <row r="1">
      <c r="A1" s="1" t="inlineStr">
        <is>
          <t>A Second Worked Example: Workforce Training, Two Years, $180,000</t>
        </is>
      </c>
    </row>
    <row r="2">
      <c r="A2" s="2" t="inlineStr">
        <is>
          <t>Cedar Valley Workforce Partners (a composite illustration, not a real organisation) runs a precision machining training partnership with three employer partners.</t>
        </is>
      </c>
    </row>
    <row r="3">
      <c r="A3" s="3" t="inlineStr">
        <is>
          <t>Swap the population and the assessment and the same five-column structure holds. The arithmetic block below is live: change the cohort figures and the outputs move.</t>
        </is>
      </c>
    </row>
    <row r="5" ht="20" customHeight="1">
      <c r="A5" s="4" t="inlineStr">
        <is>
          <t>THE SCHEDULE: entries and live arithmetic</t>
        </is>
      </c>
      <c r="B5" s="5" t="n"/>
      <c r="C5" s="5" t="n"/>
      <c r="D5" s="5" t="n"/>
      <c r="E5" s="5" t="n"/>
      <c r="F5" s="5" t="n"/>
      <c r="G5" s="5" t="n"/>
    </row>
    <row r="6" ht="20" customHeight="1">
      <c r="A6" s="7" t="inlineStr">
        <is>
          <t>Figure</t>
        </is>
      </c>
      <c r="B6" s="7" t="inlineStr">
        <is>
          <t>Value</t>
        </is>
      </c>
      <c r="C6" s="7" t="inlineStr">
        <is>
          <t>How it is derived</t>
        </is>
      </c>
      <c r="D6" s="7" t="inlineStr"/>
      <c r="E6" s="7" t="inlineStr"/>
      <c r="F6" s="7" t="inlineStr"/>
      <c r="G6" s="7" t="inlineStr"/>
    </row>
    <row r="7">
      <c r="A7" s="8" t="inlineStr">
        <is>
          <t>Cohorts across the two-year term</t>
        </is>
      </c>
      <c r="B7" s="62" t="n">
        <v>4</v>
      </c>
      <c r="C7" s="26" t="inlineStr">
        <is>
          <t>Two per year, spring and fall.</t>
        </is>
      </c>
    </row>
    <row r="8">
      <c r="A8" s="8" t="inlineStr">
        <is>
          <t>Trainees per cohort</t>
        </is>
      </c>
      <c r="B8" s="62" t="n">
        <v>14</v>
      </c>
      <c r="C8" s="26" t="inlineStr">
        <is>
          <t>Capped by the number of machining stations in the shop.</t>
        </is>
      </c>
    </row>
    <row r="9">
      <c r="A9" s="8" t="inlineStr">
        <is>
          <t>Instruction hours per cohort</t>
        </is>
      </c>
      <c r="B9" s="62" t="n">
        <v>240</v>
      </c>
      <c r="C9" s="26" t="inlineStr">
        <is>
          <t>Twelve weeks at twenty hours a week.</t>
        </is>
      </c>
    </row>
    <row r="10">
      <c r="A10" s="8" t="inlineStr">
        <is>
          <t>Employability workshops per cohort</t>
        </is>
      </c>
      <c r="B10" s="62" t="n">
        <v>12</v>
      </c>
      <c r="C10" s="26" t="inlineStr">
        <is>
          <t>One a week alongside the shop instruction.</t>
        </is>
      </c>
    </row>
    <row r="11">
      <c r="A11" s="8" t="inlineStr">
        <is>
          <t>Employer site visits per cohort</t>
        </is>
      </c>
      <c r="B11" s="62" t="n">
        <v>3</v>
      </c>
      <c r="C11" s="26" t="inlineStr">
        <is>
          <t>One per employer partner.</t>
        </is>
      </c>
    </row>
    <row r="12">
      <c r="A12" s="8" t="inlineStr">
        <is>
          <t>Grant request</t>
        </is>
      </c>
      <c r="B12" s="17" t="n">
        <v>180000</v>
      </c>
      <c r="C12" s="26" t="inlineStr">
        <is>
          <t>Two-year award.</t>
        </is>
      </c>
    </row>
    <row r="13">
      <c r="A13" s="8" t="inlineStr">
        <is>
          <t>Trainees enrolled</t>
        </is>
      </c>
      <c r="B13" s="63">
        <f>B7*B8</f>
        <v/>
      </c>
      <c r="C13" s="26" t="inlineStr">
        <is>
          <t>Cohorts times trainees per cohort.</t>
        </is>
      </c>
    </row>
    <row r="14">
      <c r="A14" s="8" t="inlineStr">
        <is>
          <t>Instruction hours delivered</t>
        </is>
      </c>
      <c r="B14" s="63">
        <f>B7*B9</f>
        <v/>
      </c>
      <c r="C14" s="26" t="inlineStr">
        <is>
          <t>Cohorts times hours per cohort.</t>
        </is>
      </c>
    </row>
    <row r="15">
      <c r="A15" s="8" t="inlineStr">
        <is>
          <t>Employability workshops held</t>
        </is>
      </c>
      <c r="B15" s="63">
        <f>B7*B10</f>
        <v/>
      </c>
      <c r="C15" s="26" t="inlineStr">
        <is>
          <t>Cohorts times workshops per cohort.</t>
        </is>
      </c>
    </row>
    <row r="16">
      <c r="A16" s="8" t="inlineStr">
        <is>
          <t>Employer site visits made</t>
        </is>
      </c>
      <c r="B16" s="63">
        <f>B7*B11</f>
        <v/>
      </c>
      <c r="C16" s="26" t="inlineStr">
        <is>
          <t>Cohorts times visits per cohort.</t>
        </is>
      </c>
    </row>
    <row r="17">
      <c r="A17" s="8" t="inlineStr">
        <is>
          <t>Grant cost per trainee enrolled</t>
        </is>
      </c>
      <c r="B17" s="18">
        <f>IFERROR(ROUND(B12/B13,2),"")</f>
        <v/>
      </c>
      <c r="C17" s="26" t="inlineStr">
        <is>
          <t>Request divided by trainees enrolled.</t>
        </is>
      </c>
    </row>
    <row r="18">
      <c r="A18" s="8" t="inlineStr">
        <is>
          <t>Grant cost per instruction hour</t>
        </is>
      </c>
      <c r="B18" s="18">
        <f>IFERROR(ROUND(B12/B14,2),"")</f>
        <v/>
      </c>
      <c r="C18" s="26" t="inlineStr">
        <is>
          <t>Request divided by instruction hours.</t>
        </is>
      </c>
    </row>
    <row r="20" ht="20" customHeight="1">
      <c r="A20" s="4" t="inlineStr">
        <is>
          <t>COMPLETION AND PLACEMENT TARGETS: live</t>
        </is>
      </c>
      <c r="B20" s="5" t="n"/>
      <c r="C20" s="5" t="n"/>
      <c r="D20" s="5" t="n"/>
      <c r="E20" s="5" t="n"/>
      <c r="F20" s="5" t="n"/>
      <c r="G20" s="5" t="n"/>
    </row>
    <row r="21" ht="20" customHeight="1">
      <c r="A21" s="7" t="inlineStr">
        <is>
          <t>Target</t>
        </is>
      </c>
      <c r="B21" s="7" t="inlineStr">
        <is>
          <t>Rate</t>
        </is>
      </c>
      <c r="C21" s="7" t="inlineStr">
        <is>
          <t>Number</t>
        </is>
      </c>
      <c r="D21" s="7" t="inlineStr">
        <is>
          <t>Basis</t>
        </is>
      </c>
      <c r="E21" s="7" t="inlineStr"/>
      <c r="F21" s="7" t="inlineStr"/>
      <c r="G21" s="7" t="inlineStr"/>
    </row>
    <row r="22" ht="32" customHeight="1">
      <c r="A22" s="8" t="inlineStr">
        <is>
          <t>Trainees who complete the course</t>
        </is>
      </c>
      <c r="B22" s="57" t="n">
        <v>0.79</v>
      </c>
      <c r="C22" s="67">
        <f>ROUND($B$13*B22,0)</f>
        <v/>
      </c>
      <c r="D22" s="26" t="inlineStr">
        <is>
          <t>The program's completion rate across the three prior cohorts it ran without grant support.</t>
        </is>
      </c>
      <c r="E22" s="27" t="n"/>
      <c r="F22" s="27" t="n"/>
      <c r="G22" s="28" t="n"/>
    </row>
    <row r="23" ht="32" customHeight="1">
      <c r="A23" s="8" t="inlineStr">
        <is>
          <t>Completers who earn the industry-recognised machining credential</t>
        </is>
      </c>
      <c r="B23" s="57" t="n">
        <v>0.9</v>
      </c>
      <c r="C23" s="67">
        <f>ROUND(C22*B23,0)</f>
        <v/>
      </c>
      <c r="D23" s="26" t="inlineStr">
        <is>
          <t>Credential pass rate among trainees who sat the assessment in prior cohorts.</t>
        </is>
      </c>
      <c r="E23" s="27" t="n"/>
      <c r="F23" s="27" t="n"/>
      <c r="G23" s="28" t="n"/>
    </row>
    <row r="24" ht="32" customHeight="1">
      <c r="A24" s="8" t="inlineStr">
        <is>
          <t>Credential holders placed in a machining job within 90 days</t>
        </is>
      </c>
      <c r="B24" s="57" t="n">
        <v>0.75</v>
      </c>
      <c r="C24" s="67">
        <f>ROUND(C23*B24,0)</f>
        <v/>
      </c>
      <c r="D24" s="26" t="inlineStr">
        <is>
          <t>Placement rate the three employer partners committed to in their letters of support.</t>
        </is>
      </c>
      <c r="E24" s="27" t="n"/>
      <c r="F24" s="27" t="n"/>
      <c r="G24" s="28" t="n"/>
    </row>
    <row r="25" ht="32" customHeight="1">
      <c r="A25" s="8" t="inlineStr">
        <is>
          <t>Placed trainees retained at 6 months</t>
        </is>
      </c>
      <c r="B25" s="57" t="n">
        <v>0.8</v>
      </c>
      <c r="C25" s="67">
        <f>ROUND(C24*B25,0)</f>
        <v/>
      </c>
      <c r="D25" s="26" t="inlineStr">
        <is>
          <t>Retention observed in the partnership's prior placements.</t>
        </is>
      </c>
      <c r="E25" s="27" t="n"/>
      <c r="F25" s="27" t="n"/>
      <c r="G25" s="28" t="n"/>
    </row>
    <row r="26" ht="34" customHeight="1">
      <c r="A26" s="8" t="inlineStr">
        <is>
          <t>Placement as a share of everyone who enrolled</t>
        </is>
      </c>
      <c r="B26" s="69">
        <f>IFERROR(C24/B13,"")</f>
        <v/>
      </c>
      <c r="C26" s="67">
        <f>C24</f>
        <v/>
      </c>
      <c r="D26" s="26">
        <f>"Of "&amp;TEXT(B13,"#,##0")&amp;" enrolled, "&amp;TEXT(C24,"#,##0")&amp;" are placed. State the number against enrolment, not against completers, or a reviewer will do the multiplication and find the smaller figure themselves."</f>
        <v/>
      </c>
      <c r="E26" s="27" t="n"/>
      <c r="F26" s="27" t="n"/>
      <c r="G26" s="28" t="n"/>
    </row>
    <row r="28" ht="20" customHeight="1">
      <c r="A28" s="4" t="inlineStr">
        <is>
          <t>THE FIVE COLUMNS</t>
        </is>
      </c>
      <c r="B28" s="5" t="n"/>
      <c r="C28" s="5" t="n"/>
      <c r="D28" s="5" t="n"/>
      <c r="E28" s="5" t="n"/>
      <c r="F28" s="5" t="n"/>
      <c r="G28" s="5" t="n"/>
    </row>
    <row r="29" ht="24" customHeight="1">
      <c r="A29" s="7" t="inlineStr">
        <is>
          <t>INPUTS</t>
        </is>
      </c>
      <c r="B29" s="7" t="inlineStr">
        <is>
          <t>ACTIVITIES</t>
        </is>
      </c>
      <c r="C29" s="7" t="inlineStr">
        <is>
          <t>OUTPUTS</t>
        </is>
      </c>
      <c r="D29" s="7" t="inlineStr">
        <is>
          <t>OUTCOMES</t>
        </is>
      </c>
      <c r="E29" s="7" t="inlineStr">
        <is>
          <t>IMPACT</t>
        </is>
      </c>
      <c r="F29" s="7" t="inlineStr"/>
      <c r="G29" s="7" t="inlineStr"/>
    </row>
    <row r="30" ht="44" customHeight="1">
      <c r="A30" s="16" t="inlineStr">
        <is>
          <t>1.0 FTE machining instructor, credentialed</t>
        </is>
      </c>
      <c r="B30" s="16" t="inlineStr">
        <is>
          <t>Recruit and screen applicants with the county workforce board</t>
        </is>
      </c>
      <c r="C30" s="24">
        <f>TEXT($B$13,"#,##0")&amp;" trainees enrolled across "&amp;$B$7&amp;" cohorts"</f>
        <v/>
      </c>
      <c r="D30" s="24">
        <f>"Short term: "&amp;TEXT($C$23,"#,##0")&amp;" of "&amp;TEXT($B$13,"#,##0")&amp;" enrolled trainees earn an industry-recognised machining credential by the end of their cohort, "&amp;TEXT($C$23/$B$13,"0%")&amp;" of enrolment."</f>
        <v/>
      </c>
      <c r="E30" s="16" t="inlineStr">
        <is>
          <t>More entry-level machining vacancies in the county are filled by local residents rather than going unfilled or being filled from outside the region.</t>
        </is>
      </c>
      <c r="F30" s="44" t="n"/>
      <c r="G30" s="45" t="n"/>
    </row>
    <row r="31" ht="44" customHeight="1">
      <c r="A31" s="16" t="inlineStr">
        <is>
          <t>0.25 FTE job developer</t>
        </is>
      </c>
      <c r="B31" s="16" t="inlineStr">
        <is>
          <t>Deliver a 240-hour machining course, twice a year</t>
        </is>
      </c>
      <c r="C31" s="24">
        <f>TEXT($B$14,"#,##0")&amp;" instruction hours delivered"</f>
        <v/>
      </c>
      <c r="D31" s="24">
        <f>"Medium term: "&amp;TEXT($C$24,"#,##0")&amp;" credential holders are placed in a machining job within 90 days at or above the partnership's target wage, "&amp;TEXT($C$24/$B$13,"0%")&amp;" of everyone who enrolled."</f>
        <v/>
      </c>
      <c r="E31" s="46" t="n"/>
      <c r="G31" s="47" t="n"/>
    </row>
    <row r="32" ht="44" customHeight="1">
      <c r="A32" s="16" t="inlineStr">
        <is>
          <t>Leased shop time at the community college, four evenings a week</t>
        </is>
      </c>
      <c r="B32" s="16" t="inlineStr">
        <is>
          <t>Run weekly employability workshops alongside the shop instruction</t>
        </is>
      </c>
      <c r="C32" s="24">
        <f>TEXT($B$15,"#,##0")&amp;" employability workshops held"</f>
        <v/>
      </c>
      <c r="D32" s="24">
        <f>"Medium term: "&amp;TEXT($C$25,"#,##0")&amp;" placed trainees are still employed in the trade at six months, "&amp;TEXT($B$25,"0%")&amp;" of those placed."</f>
        <v/>
      </c>
      <c r="E32" s="46" t="n"/>
      <c r="G32" s="47" t="n"/>
    </row>
    <row r="33" ht="44" customHeight="1">
      <c r="A33" s="16" t="inlineStr">
        <is>
          <t>Four CNC machines the partnership already owns</t>
        </is>
      </c>
      <c r="B33" s="16" t="inlineStr">
        <is>
          <t>Arrange employer site visits with the three partner firms</t>
        </is>
      </c>
      <c r="C33" s="24">
        <f>TEXT($B$16,"#,##0")&amp;" employer site visits made"</f>
        <v/>
      </c>
      <c r="D33" s="9" t="n"/>
      <c r="E33" s="46" t="n"/>
      <c r="G33" s="47" t="n"/>
    </row>
    <row r="34" ht="44" customHeight="1">
      <c r="A34" s="16" t="inlineStr">
        <is>
          <t>Tooling, consumables and personal protective equipment</t>
        </is>
      </c>
      <c r="B34" s="16" t="inlineStr">
        <is>
          <t>Provide six months of post-placement follow-up and coaching</t>
        </is>
      </c>
      <c r="C34" s="24">
        <f>TEXT($C$22,"#,##0")&amp;" trainees complete the course"</f>
        <v/>
      </c>
      <c r="D34" s="9" t="n"/>
      <c r="E34" s="46" t="n"/>
      <c r="G34" s="47" t="n"/>
    </row>
    <row r="35" ht="44" customHeight="1">
      <c r="A35" s="16" t="inlineStr">
        <is>
          <t>Three employer partners on the advisory group</t>
        </is>
      </c>
      <c r="B35" s="16" t="inlineStr">
        <is>
          <t>Convene the employer advisory group each quarter to review the curriculum</t>
        </is>
      </c>
      <c r="C35" s="24">
        <f>TEXT($C$23,"#,##0")&amp;" credentials earned"</f>
        <v/>
      </c>
      <c r="D35" s="9" t="n"/>
      <c r="E35" s="46" t="n"/>
      <c r="G35" s="47" t="n"/>
    </row>
    <row r="36" ht="44" customHeight="1">
      <c r="A36" s="24">
        <f>"A "&amp;TEXT($B$12,"$#,##0")&amp;" grant across 24 months"</f>
        <v/>
      </c>
      <c r="B36" s="9" t="n"/>
      <c r="C36" s="24">
        <f>TEXT($C$24,"#,##0")&amp;" placements recorded"</f>
        <v/>
      </c>
      <c r="D36" s="9" t="n"/>
      <c r="E36" s="48" t="n"/>
      <c r="F36" s="49" t="n"/>
      <c r="G36" s="50" t="n"/>
    </row>
    <row r="38" ht="20" customHeight="1">
      <c r="A38" s="4" t="inlineStr">
        <is>
          <t>WHAT THIS EXAMPLE SHOWS THAT THE LITERACY ONE DOES NOT</t>
        </is>
      </c>
      <c r="B38" s="5" t="n"/>
      <c r="C38" s="5" t="n"/>
      <c r="D38" s="5" t="n"/>
      <c r="E38" s="5" t="n"/>
      <c r="F38" s="5" t="n"/>
      <c r="G38" s="5" t="n"/>
    </row>
    <row r="39" ht="46" customHeight="1">
      <c r="A39" s="6" t="inlineStr">
        <is>
          <t>Longer awards need a third measurement point. A two-year project can evidence a medium-term outcome, placement, retention, practice change: that a nine-month project can only promise. The retention target at six months is only credible because the term is long enough to observe it.</t>
        </is>
      </c>
    </row>
    <row r="40" ht="46" customHeight="1">
      <c r="A40" s="6" t="inlineStr">
        <is>
          <t>Chained percentages shrink fast. Seventy-nine percent complete, ninety percent of those earn the credential, seventy-five percent of those are placed. Multiply them and placement is fifty-three percent of enrolment, not seventy-five. State the number against enrolment. A reviewer will do the multiplication whether or not you do.</t>
        </is>
      </c>
    </row>
    <row r="41" ht="46" customHeight="1">
      <c r="A41" s="6" t="inlineStr">
        <is>
          <t>Employer commitments are inputs and assumptions at the same time. Three partner firms on the advisory group is an input; those firms hiring at the rate their letters describe is an assumption the organisation does not control, and it belongs under the columns with a fallback.</t>
        </is>
      </c>
    </row>
    <row r="42" ht="46" customHeight="1">
      <c r="A42" s="6" t="inlineStr">
        <is>
          <t>The impact column still refuses ownership. Vacancies filled by local residents is a county labour market condition. A partnership training fifty-six people over two years contributes to it. Naming the contribution honestly is what keeps the rest of the model believable.</t>
        </is>
      </c>
    </row>
    <row r="44" ht="30" customHeight="1">
      <c r="A44" s="14" t="inlineStr">
        <is>
          <t>Cedar Valley Workforce Partners is an invented composite. The rates, wages, employers and headcounts are illustrative and should be replaced with figures your own records and your partners' letters support.</t>
        </is>
      </c>
    </row>
    <row r="46">
      <c r="A46" s="15" t="inlineStr">
        <is>
          <t>GrantCue - grantcue.com/blog/logic-model-for-grant-writing</t>
        </is>
      </c>
    </row>
  </sheetData>
  <mergeCells count="11">
    <mergeCell ref="D22:G22"/>
    <mergeCell ref="D23:G23"/>
    <mergeCell ref="A44:G44"/>
    <mergeCell ref="D26:G26"/>
    <mergeCell ref="A40:G40"/>
    <mergeCell ref="E30:G36"/>
    <mergeCell ref="D25:G25"/>
    <mergeCell ref="A39:G39"/>
    <mergeCell ref="D24:G24"/>
    <mergeCell ref="A41:G41"/>
    <mergeCell ref="A42:G42"/>
  </mergeCells>
  <pageMargins left="0.75" right="0.75" top="1" bottom="1" header="0.5" footer="0.5"/>
  <pageSetup orientation="landscape" fitToHeight="0" fitToWidth="1"/>
</worksheet>
</file>

<file path=xl/worksheets/sheet15.xml><?xml version="1.0" encoding="utf-8"?>
<worksheet xmlns="http://schemas.openxmlformats.org/spreadsheetml/2006/main">
  <sheetPr>
    <tabColor rgb="002E7D5A"/>
    <outlinePr summaryBelow="1" summaryRight="1"/>
    <pageSetUpPr fitToPage="1"/>
  </sheetPr>
  <dimension ref="A1:O46"/>
  <sheetViews>
    <sheetView workbookViewId="0">
      <pane xSplit="1" ySplit="8" topLeftCell="B9"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0" customWidth="1" min="2" max="2"/>
    <col width="14" customWidth="1" min="3" max="3"/>
    <col width="22" customWidth="1" min="4" max="4"/>
    <col width="12" customWidth="1" min="5" max="5"/>
    <col width="10" customWidth="1" min="6" max="6"/>
    <col width="10" customWidth="1" min="7" max="7"/>
    <col width="10" customWidth="1" min="8" max="8"/>
    <col width="10" customWidth="1" min="9" max="9"/>
    <col width="12" customWidth="1" min="10" max="10"/>
    <col width="12" customWidth="1" min="11" max="11"/>
    <col width="14" customWidth="1" min="12" max="12"/>
    <col width="12" customWidth="1" min="13" max="13"/>
    <col width="24" customWidth="1" min="14" max="14"/>
    <col width="56" customWidth="1" min="15" max="15"/>
  </cols>
  <sheetData>
    <row r="1">
      <c r="A1" s="1" t="inlineStr">
        <is>
          <t>Using the Model After You Submit</t>
        </is>
      </c>
    </row>
    <row r="2">
      <c r="A2" s="2" t="inlineStr">
        <is>
          <t>The outputs and outcomes columns are the reporting schedule for the award. Interim reports ask for the numbers already listed in the outputs column and the measures already named beside each outcome.</t>
        </is>
      </c>
    </row>
    <row r="3">
      <c r="A3" s="3" t="inlineStr">
        <is>
          <t>Items, owners and targets are pulled live from the register sheets. Enter the quarters completed and one actual per item per quarter; everything else calculates.</t>
        </is>
      </c>
    </row>
    <row r="5">
      <c r="A5" s="8" t="inlineStr">
        <is>
          <t>Quarters completed</t>
        </is>
      </c>
      <c r="B5" s="70" t="n">
        <v>2</v>
      </c>
      <c r="C5" s="26" t="inlineStr">
        <is>
          <t>Reporting periods elapsed in the award. Everything on this sheet paces against it.</t>
        </is>
      </c>
      <c r="D5" s="27" t="n"/>
      <c r="E5" s="27" t="n"/>
      <c r="F5" s="27" t="n"/>
      <c r="G5" s="27" t="n"/>
      <c r="H5" s="28" t="n"/>
    </row>
    <row r="7" ht="20" customHeight="1">
      <c r="A7" s="4" t="inlineStr">
        <is>
          <t>OUTPUTS: the counts the interim report asks for</t>
        </is>
      </c>
      <c r="B7" s="5" t="n"/>
      <c r="C7" s="5" t="n"/>
      <c r="D7" s="5" t="n"/>
      <c r="E7" s="5" t="n"/>
      <c r="F7" s="5" t="n"/>
      <c r="G7" s="5" t="n"/>
      <c r="H7" s="5" t="n"/>
      <c r="I7" s="5" t="n"/>
      <c r="J7" s="5" t="n"/>
      <c r="K7" s="5" t="n"/>
      <c r="L7" s="5" t="n"/>
      <c r="M7" s="5" t="n"/>
      <c r="N7" s="5" t="n"/>
      <c r="O7" s="5" t="n"/>
    </row>
    <row r="8" ht="32" customHeight="1">
      <c r="A8" s="7" t="inlineStr">
        <is>
          <t>ID</t>
        </is>
      </c>
      <c r="B8" s="7" t="inlineStr">
        <is>
          <t>Item (live)</t>
        </is>
      </c>
      <c r="C8" s="7" t="inlineStr">
        <is>
          <t>Unit (live)</t>
        </is>
      </c>
      <c r="D8" s="7" t="inlineStr">
        <is>
          <t>Owner (live)</t>
        </is>
      </c>
      <c r="E8" s="7" t="inlineStr">
        <is>
          <t>Target (live)</t>
        </is>
      </c>
      <c r="F8" s="7" t="inlineStr">
        <is>
          <t>Q1</t>
        </is>
      </c>
      <c r="G8" s="7" t="inlineStr">
        <is>
          <t>Q2</t>
        </is>
      </c>
      <c r="H8" s="7" t="inlineStr">
        <is>
          <t>Q3</t>
        </is>
      </c>
      <c r="I8" s="7" t="inlineStr">
        <is>
          <t>Q4</t>
        </is>
      </c>
      <c r="J8" s="7" t="inlineStr">
        <is>
          <t>To date (live)</t>
        </is>
      </c>
      <c r="K8" s="7" t="inlineStr">
        <is>
          <t>% of target</t>
        </is>
      </c>
      <c r="L8" s="7" t="inlineStr">
        <is>
          <t>Expected by now</t>
        </is>
      </c>
      <c r="M8" s="7" t="inlineStr">
        <is>
          <t>Variance</t>
        </is>
      </c>
      <c r="N8" s="7" t="inlineStr">
        <is>
          <t>Pace (live)</t>
        </is>
      </c>
      <c r="O8" s="7" t="inlineStr">
        <is>
          <t>What to write in the report (live)</t>
        </is>
      </c>
    </row>
    <row r="9" ht="34" customHeight="1">
      <c r="A9" s="51">
        <f>'3 Outputs'!A7</f>
        <v/>
      </c>
      <c r="B9" s="24">
        <f>IF('3 Outputs'!B7="","",'3 Outputs'!B7)</f>
        <v/>
      </c>
      <c r="C9" s="24">
        <f>IF('3 Outputs'!C7="","",'3 Outputs'!C7)</f>
        <v/>
      </c>
      <c r="D9" s="24">
        <f>IF('3 Outputs'!K7="","",'3 Outputs'!K7)</f>
        <v/>
      </c>
      <c r="E9" s="67">
        <f>IF('3 Outputs'!D7="","",'3 Outputs'!D7)</f>
        <v/>
      </c>
      <c r="F9" s="70" t="n">
        <v>12</v>
      </c>
      <c r="G9" s="70" t="n">
        <v>30</v>
      </c>
      <c r="H9" s="70" t="n"/>
      <c r="I9" s="70" t="n"/>
      <c r="J9" s="67">
        <f>IF($E9="","",SUM(F9:I9))</f>
        <v/>
      </c>
      <c r="K9" s="69">
        <f>IFERROR(J9/$E9,"")</f>
        <v/>
      </c>
      <c r="L9" s="71">
        <f>IF($E9="","",ROUND($E9*MIN($B$5,4)/4,1))</f>
        <v/>
      </c>
      <c r="M9" s="71">
        <f>IF($E9="","",ROUND(J9-L9,1))</f>
        <v/>
      </c>
      <c r="N9" s="60">
        <f>IF($E9="","",IF(J9&gt;=L9,"On pace",IF(J9&gt;=L9*0.9,"Slightly behind","Behind, explain")))</f>
        <v/>
      </c>
      <c r="O9" s="24">
        <f>IF($E9="","",IF(N9="On pace","","Original target "&amp;TEXT($E9,"#,##0")&amp;" for the full term. Reported to date "&amp;TEXT(J9,"#,##0")&amp;" through Q"&amp;$B$5&amp;", against "&amp;TEXT(L9,"#,##0.0")&amp;" expected by now, a variance of "&amp;TEXT(M9,"#,##0.0")&amp;". Reason: ______. What changes for the next period: ______."))</f>
        <v/>
      </c>
    </row>
    <row r="10" ht="34" customHeight="1">
      <c r="A10" s="51">
        <f>'3 Outputs'!A8</f>
        <v/>
      </c>
      <c r="B10" s="24">
        <f>IF('3 Outputs'!B8="","",'3 Outputs'!B8)</f>
        <v/>
      </c>
      <c r="C10" s="24">
        <f>IF('3 Outputs'!C8="","",'3 Outputs'!C8)</f>
        <v/>
      </c>
      <c r="D10" s="24">
        <f>IF('3 Outputs'!K8="","",'3 Outputs'!K8)</f>
        <v/>
      </c>
      <c r="E10" s="67">
        <f>IF('3 Outputs'!D8="","",'3 Outputs'!D8)</f>
        <v/>
      </c>
      <c r="F10" s="70" t="n">
        <v>10</v>
      </c>
      <c r="G10" s="70" t="n">
        <v>14</v>
      </c>
      <c r="H10" s="70" t="n"/>
      <c r="I10" s="70" t="n"/>
      <c r="J10" s="67">
        <f>IF($E10="","",SUM(F10:I10))</f>
        <v/>
      </c>
      <c r="K10" s="69">
        <f>IFERROR(J10/$E10,"")</f>
        <v/>
      </c>
      <c r="L10" s="71">
        <f>IF($E10="","",ROUND($E10*MIN($B$5,4)/4,1))</f>
        <v/>
      </c>
      <c r="M10" s="71">
        <f>IF($E10="","",ROUND(J10-L10,1))</f>
        <v/>
      </c>
      <c r="N10" s="60">
        <f>IF($E10="","",IF(J10&gt;=L10,"On pace",IF(J10&gt;=L10*0.9,"Slightly behind","Behind, explain")))</f>
        <v/>
      </c>
      <c r="O10" s="24">
        <f>IF($E10="","",IF(N10="On pace","","Original target "&amp;TEXT($E10,"#,##0")&amp;" for the full term. Reported to date "&amp;TEXT(J10,"#,##0")&amp;" through Q"&amp;$B$5&amp;", against "&amp;TEXT(L10,"#,##0.0")&amp;" expected by now, a variance of "&amp;TEXT(M10,"#,##0.0")&amp;". Reason: ______. What changes for the next period: ______."))</f>
        <v/>
      </c>
    </row>
    <row r="11" ht="34" customHeight="1">
      <c r="A11" s="51">
        <f>'3 Outputs'!A9</f>
        <v/>
      </c>
      <c r="B11" s="24">
        <f>IF('3 Outputs'!B9="","",'3 Outputs'!B9)</f>
        <v/>
      </c>
      <c r="C11" s="24">
        <f>IF('3 Outputs'!C9="","",'3 Outputs'!C9)</f>
        <v/>
      </c>
      <c r="D11" s="24">
        <f>IF('3 Outputs'!K9="","",'3 Outputs'!K9)</f>
        <v/>
      </c>
      <c r="E11" s="67">
        <f>IF('3 Outputs'!D9="","",'3 Outputs'!D9)</f>
        <v/>
      </c>
      <c r="F11" s="70" t="n">
        <v>12</v>
      </c>
      <c r="G11" s="70" t="n">
        <v>0</v>
      </c>
      <c r="H11" s="70" t="n"/>
      <c r="I11" s="70" t="n"/>
      <c r="J11" s="67">
        <f>IF($E11="","",SUM(F11:I11))</f>
        <v/>
      </c>
      <c r="K11" s="69">
        <f>IFERROR(J11/$E11,"")</f>
        <v/>
      </c>
      <c r="L11" s="71">
        <f>IF($E11="","",ROUND($E11*MIN($B$5,4)/4,1))</f>
        <v/>
      </c>
      <c r="M11" s="71">
        <f>IF($E11="","",ROUND(J11-L11,1))</f>
        <v/>
      </c>
      <c r="N11" s="60">
        <f>IF($E11="","",IF(J11&gt;=L11,"On pace",IF(J11&gt;=L11*0.9,"Slightly behind","Behind, explain")))</f>
        <v/>
      </c>
      <c r="O11" s="24">
        <f>IF($E11="","",IF(N11="On pace","","Original target "&amp;TEXT($E11,"#,##0")&amp;" for the full term. Reported to date "&amp;TEXT(J11,"#,##0")&amp;" through Q"&amp;$B$5&amp;", against "&amp;TEXT(L11,"#,##0.0")&amp;" expected by now, a variance of "&amp;TEXT(M11,"#,##0.0")&amp;". Reason: ______. What changes for the next period: ______."))</f>
        <v/>
      </c>
    </row>
    <row r="12" ht="34" customHeight="1">
      <c r="A12" s="51">
        <f>'3 Outputs'!A10</f>
        <v/>
      </c>
      <c r="B12" s="24">
        <f>IF('3 Outputs'!B10="","",'3 Outputs'!B10)</f>
        <v/>
      </c>
      <c r="C12" s="24">
        <f>IF('3 Outputs'!C10="","",'3 Outputs'!C10)</f>
        <v/>
      </c>
      <c r="D12" s="24">
        <f>IF('3 Outputs'!K10="","",'3 Outputs'!K10)</f>
        <v/>
      </c>
      <c r="E12" s="67">
        <f>IF('3 Outputs'!D10="","",'3 Outputs'!D10)</f>
        <v/>
      </c>
      <c r="F12" s="70" t="n">
        <v>30</v>
      </c>
      <c r="G12" s="70" t="n">
        <v>0</v>
      </c>
      <c r="H12" s="70" t="n"/>
      <c r="I12" s="70" t="n"/>
      <c r="J12" s="67">
        <f>IF($E12="","",SUM(F12:I12))</f>
        <v/>
      </c>
      <c r="K12" s="69">
        <f>IFERROR(J12/$E12,"")</f>
        <v/>
      </c>
      <c r="L12" s="71">
        <f>IF($E12="","",ROUND($E12*MIN($B$5,4)/4,1))</f>
        <v/>
      </c>
      <c r="M12" s="71">
        <f>IF($E12="","",ROUND(J12-L12,1))</f>
        <v/>
      </c>
      <c r="N12" s="60">
        <f>IF($E12="","",IF(J12&gt;=L12,"On pace",IF(J12&gt;=L12*0.9,"Slightly behind","Behind, explain")))</f>
        <v/>
      </c>
      <c r="O12" s="24">
        <f>IF($E12="","",IF(N12="On pace","","Original target "&amp;TEXT($E12,"#,##0")&amp;" for the full term. Reported to date "&amp;TEXT(J12,"#,##0")&amp;" through Q"&amp;$B$5&amp;", against "&amp;TEXT(L12,"#,##0.0")&amp;" expected by now, a variance of "&amp;TEXT(M12,"#,##0.0")&amp;". Reason: ______. What changes for the next period: ______."))</f>
        <v/>
      </c>
    </row>
    <row r="13" ht="34" customHeight="1">
      <c r="A13" s="51">
        <f>'3 Outputs'!A11</f>
        <v/>
      </c>
      <c r="B13" s="24">
        <f>IF('3 Outputs'!B11="","",'3 Outputs'!B11)</f>
        <v/>
      </c>
      <c r="C13" s="24">
        <f>IF('3 Outputs'!C11="","",'3 Outputs'!C11)</f>
        <v/>
      </c>
      <c r="D13" s="24">
        <f>IF('3 Outputs'!K11="","",'3 Outputs'!K11)</f>
        <v/>
      </c>
      <c r="E13" s="67">
        <f>IF('3 Outputs'!D11="","",'3 Outputs'!D11)</f>
        <v/>
      </c>
      <c r="F13" s="70" t="n">
        <v>1</v>
      </c>
      <c r="G13" s="70" t="n">
        <v>0</v>
      </c>
      <c r="H13" s="70" t="n"/>
      <c r="I13" s="70" t="n"/>
      <c r="J13" s="67">
        <f>IF($E13="","",SUM(F13:I13))</f>
        <v/>
      </c>
      <c r="K13" s="69">
        <f>IFERROR(J13/$E13,"")</f>
        <v/>
      </c>
      <c r="L13" s="71">
        <f>IF($E13="","",ROUND($E13*MIN($B$5,4)/4,1))</f>
        <v/>
      </c>
      <c r="M13" s="71">
        <f>IF($E13="","",ROUND(J13-L13,1))</f>
        <v/>
      </c>
      <c r="N13" s="60">
        <f>IF($E13="","",IF(J13&gt;=L13,"On pace",IF(J13&gt;=L13*0.9,"Slightly behind","Behind, explain")))</f>
        <v/>
      </c>
      <c r="O13" s="24">
        <f>IF($E13="","",IF(N13="On pace","","Original target "&amp;TEXT($E13,"#,##0")&amp;" for the full term. Reported to date "&amp;TEXT(J13,"#,##0")&amp;" through Q"&amp;$B$5&amp;", against "&amp;TEXT(L13,"#,##0.0")&amp;" expected by now, a variance of "&amp;TEXT(M13,"#,##0.0")&amp;". Reason: ______. What changes for the next period: ______."))</f>
        <v/>
      </c>
    </row>
    <row r="14" ht="34" customHeight="1">
      <c r="A14" s="51">
        <f>'3 Outputs'!A12</f>
        <v/>
      </c>
      <c r="B14" s="24">
        <f>IF('3 Outputs'!B12="","",'3 Outputs'!B12)</f>
        <v/>
      </c>
      <c r="C14" s="24">
        <f>IF('3 Outputs'!C12="","",'3 Outputs'!C12)</f>
        <v/>
      </c>
      <c r="D14" s="24">
        <f>IF('3 Outputs'!K12="","",'3 Outputs'!K12)</f>
        <v/>
      </c>
      <c r="E14" s="67">
        <f>IF('3 Outputs'!D12="","",'3 Outputs'!D12)</f>
        <v/>
      </c>
      <c r="F14" s="70" t="n"/>
      <c r="G14" s="70" t="n"/>
      <c r="H14" s="70" t="n"/>
      <c r="I14" s="70" t="n"/>
      <c r="J14" s="67">
        <f>IF($E14="","",SUM(F14:I14))</f>
        <v/>
      </c>
      <c r="K14" s="69">
        <f>IFERROR(J14/$E14,"")</f>
        <v/>
      </c>
      <c r="L14" s="71">
        <f>IF($E14="","",ROUND($E14*MIN($B$5,4)/4,1))</f>
        <v/>
      </c>
      <c r="M14" s="71">
        <f>IF($E14="","",ROUND(J14-L14,1))</f>
        <v/>
      </c>
      <c r="N14" s="60">
        <f>IF($E14="","",IF(J14&gt;=L14,"On pace",IF(J14&gt;=L14*0.9,"Slightly behind","Behind, explain")))</f>
        <v/>
      </c>
      <c r="O14" s="24">
        <f>IF($E14="","",IF(N14="On pace","","Original target "&amp;TEXT($E14,"#,##0")&amp;" for the full term. Reported to date "&amp;TEXT(J14,"#,##0")&amp;" through Q"&amp;$B$5&amp;", against "&amp;TEXT(L14,"#,##0.0")&amp;" expected by now, a variance of "&amp;TEXT(M14,"#,##0.0")&amp;". Reason: ______. What changes for the next period: ______."))</f>
        <v/>
      </c>
    </row>
    <row r="15" ht="34" customHeight="1">
      <c r="A15" s="51">
        <f>'3 Outputs'!A13</f>
        <v/>
      </c>
      <c r="B15" s="24">
        <f>IF('3 Outputs'!B13="","",'3 Outputs'!B13)</f>
        <v/>
      </c>
      <c r="C15" s="24">
        <f>IF('3 Outputs'!C13="","",'3 Outputs'!C13)</f>
        <v/>
      </c>
      <c r="D15" s="24">
        <f>IF('3 Outputs'!K13="","",'3 Outputs'!K13)</f>
        <v/>
      </c>
      <c r="E15" s="67">
        <f>IF('3 Outputs'!D13="","",'3 Outputs'!D13)</f>
        <v/>
      </c>
      <c r="F15" s="70" t="n"/>
      <c r="G15" s="70" t="n"/>
      <c r="H15" s="70" t="n"/>
      <c r="I15" s="70" t="n"/>
      <c r="J15" s="67">
        <f>IF($E15="","",SUM(F15:I15))</f>
        <v/>
      </c>
      <c r="K15" s="69">
        <f>IFERROR(J15/$E15,"")</f>
        <v/>
      </c>
      <c r="L15" s="71">
        <f>IF($E15="","",ROUND($E15*MIN($B$5,4)/4,1))</f>
        <v/>
      </c>
      <c r="M15" s="71">
        <f>IF($E15="","",ROUND(J15-L15,1))</f>
        <v/>
      </c>
      <c r="N15" s="60">
        <f>IF($E15="","",IF(J15&gt;=L15,"On pace",IF(J15&gt;=L15*0.9,"Slightly behind","Behind, explain")))</f>
        <v/>
      </c>
      <c r="O15" s="24">
        <f>IF($E15="","",IF(N15="On pace","","Original target "&amp;TEXT($E15,"#,##0")&amp;" for the full term. Reported to date "&amp;TEXT(J15,"#,##0")&amp;" through Q"&amp;$B$5&amp;", against "&amp;TEXT(L15,"#,##0.0")&amp;" expected by now, a variance of "&amp;TEXT(M15,"#,##0.0")&amp;". Reason: ______. What changes for the next period: ______."))</f>
        <v/>
      </c>
    </row>
    <row r="16" ht="34" customHeight="1">
      <c r="A16" s="51">
        <f>'3 Outputs'!A14</f>
        <v/>
      </c>
      <c r="B16" s="24">
        <f>IF('3 Outputs'!B14="","",'3 Outputs'!B14)</f>
        <v/>
      </c>
      <c r="C16" s="24">
        <f>IF('3 Outputs'!C14="","",'3 Outputs'!C14)</f>
        <v/>
      </c>
      <c r="D16" s="24">
        <f>IF('3 Outputs'!K14="","",'3 Outputs'!K14)</f>
        <v/>
      </c>
      <c r="E16" s="67">
        <f>IF('3 Outputs'!D14="","",'3 Outputs'!D14)</f>
        <v/>
      </c>
      <c r="F16" s="70" t="n"/>
      <c r="G16" s="70" t="n"/>
      <c r="H16" s="70" t="n"/>
      <c r="I16" s="70" t="n"/>
      <c r="J16" s="67">
        <f>IF($E16="","",SUM(F16:I16))</f>
        <v/>
      </c>
      <c r="K16" s="69">
        <f>IFERROR(J16/$E16,"")</f>
        <v/>
      </c>
      <c r="L16" s="71">
        <f>IF($E16="","",ROUND($E16*MIN($B$5,4)/4,1))</f>
        <v/>
      </c>
      <c r="M16" s="71">
        <f>IF($E16="","",ROUND(J16-L16,1))</f>
        <v/>
      </c>
      <c r="N16" s="60">
        <f>IF($E16="","",IF(J16&gt;=L16,"On pace",IF(J16&gt;=L16*0.9,"Slightly behind","Behind, explain")))</f>
        <v/>
      </c>
      <c r="O16" s="24">
        <f>IF($E16="","",IF(N16="On pace","","Original target "&amp;TEXT($E16,"#,##0")&amp;" for the full term. Reported to date "&amp;TEXT(J16,"#,##0")&amp;" through Q"&amp;$B$5&amp;", against "&amp;TEXT(L16,"#,##0.0")&amp;" expected by now, a variance of "&amp;TEXT(M16,"#,##0.0")&amp;". Reason: ______. What changes for the next period: ______."))</f>
        <v/>
      </c>
    </row>
    <row r="17" ht="34" customHeight="1">
      <c r="A17" s="51">
        <f>'3 Outputs'!A15</f>
        <v/>
      </c>
      <c r="B17" s="24">
        <f>IF('3 Outputs'!B15="","",'3 Outputs'!B15)</f>
        <v/>
      </c>
      <c r="C17" s="24">
        <f>IF('3 Outputs'!C15="","",'3 Outputs'!C15)</f>
        <v/>
      </c>
      <c r="D17" s="24">
        <f>IF('3 Outputs'!K15="","",'3 Outputs'!K15)</f>
        <v/>
      </c>
      <c r="E17" s="67">
        <f>IF('3 Outputs'!D15="","",'3 Outputs'!D15)</f>
        <v/>
      </c>
      <c r="F17" s="70" t="n"/>
      <c r="G17" s="70" t="n"/>
      <c r="H17" s="70" t="n"/>
      <c r="I17" s="70" t="n"/>
      <c r="J17" s="67">
        <f>IF($E17="","",SUM(F17:I17))</f>
        <v/>
      </c>
      <c r="K17" s="69">
        <f>IFERROR(J17/$E17,"")</f>
        <v/>
      </c>
      <c r="L17" s="71">
        <f>IF($E17="","",ROUND($E17*MIN($B$5,4)/4,1))</f>
        <v/>
      </c>
      <c r="M17" s="71">
        <f>IF($E17="","",ROUND(J17-L17,1))</f>
        <v/>
      </c>
      <c r="N17" s="60">
        <f>IF($E17="","",IF(J17&gt;=L17,"On pace",IF(J17&gt;=L17*0.9,"Slightly behind","Behind, explain")))</f>
        <v/>
      </c>
      <c r="O17" s="24">
        <f>IF($E17="","",IF(N17="On pace","","Original target "&amp;TEXT($E17,"#,##0")&amp;" for the full term. Reported to date "&amp;TEXT(J17,"#,##0")&amp;" through Q"&amp;$B$5&amp;", against "&amp;TEXT(L17,"#,##0.0")&amp;" expected by now, a variance of "&amp;TEXT(M17,"#,##0.0")&amp;". Reason: ______. What changes for the next period: ______."))</f>
        <v/>
      </c>
    </row>
    <row r="19" ht="20" customHeight="1">
      <c r="A19" s="4" t="inlineStr">
        <is>
          <t>OUTCOMES: the measures named beside each outcome</t>
        </is>
      </c>
      <c r="B19" s="5" t="n"/>
      <c r="C19" s="5" t="n"/>
      <c r="D19" s="5" t="n"/>
      <c r="E19" s="5" t="n"/>
      <c r="F19" s="5" t="n"/>
      <c r="G19" s="5" t="n"/>
      <c r="H19" s="5" t="n"/>
      <c r="I19" s="5" t="n"/>
      <c r="J19" s="5" t="n"/>
      <c r="K19" s="5" t="n"/>
      <c r="L19" s="5" t="n"/>
      <c r="M19" s="5" t="n"/>
      <c r="N19" s="5" t="n"/>
      <c r="O19" s="5" t="n"/>
    </row>
    <row r="20" ht="32" customHeight="1">
      <c r="A20" s="7" t="inlineStr">
        <is>
          <t>ID</t>
        </is>
      </c>
      <c r="B20" s="7" t="inlineStr">
        <is>
          <t>Outcome (live)</t>
        </is>
      </c>
      <c r="C20" s="7" t="inlineStr">
        <is>
          <t>Horizon (live)</t>
        </is>
      </c>
      <c r="D20" s="7" t="inlineStr">
        <is>
          <t>Owner (live)</t>
        </is>
      </c>
      <c r="E20" s="7" t="inlineStr">
        <is>
          <t>Target (live)</t>
        </is>
      </c>
      <c r="F20" s="7" t="inlineStr">
        <is>
          <t>Q1</t>
        </is>
      </c>
      <c r="G20" s="7" t="inlineStr">
        <is>
          <t>Q2</t>
        </is>
      </c>
      <c r="H20" s="7" t="inlineStr">
        <is>
          <t>Q3</t>
        </is>
      </c>
      <c r="I20" s="7" t="inlineStr">
        <is>
          <t>Q4</t>
        </is>
      </c>
      <c r="J20" s="7" t="inlineStr">
        <is>
          <t>To date (live)</t>
        </is>
      </c>
      <c r="K20" s="7" t="inlineStr">
        <is>
          <t>% of target</t>
        </is>
      </c>
      <c r="L20" s="7" t="inlineStr">
        <is>
          <t>Expected by now</t>
        </is>
      </c>
      <c r="M20" s="7" t="inlineStr">
        <is>
          <t>Variance</t>
        </is>
      </c>
      <c r="N20" s="7" t="inlineStr">
        <is>
          <t>Pace (live)</t>
        </is>
      </c>
      <c r="O20" s="7" t="inlineStr">
        <is>
          <t>What to write in the report (live)</t>
        </is>
      </c>
    </row>
    <row r="21" ht="34" customHeight="1">
      <c r="A21" s="51">
        <f>'2 Outcomes'!A7</f>
        <v/>
      </c>
      <c r="B21" s="24">
        <f>IF('2 Outcomes'!C7="","",'2 Outcomes'!D7&amp;" "&amp;'2 Outcomes'!C7)</f>
        <v/>
      </c>
      <c r="C21" s="24">
        <f>IF('2 Outcomes'!B7="","",'2 Outcomes'!B7)</f>
        <v/>
      </c>
      <c r="D21" s="24">
        <f>IF('2 Outcomes'!L7="","",'2 Outcomes'!L7)</f>
        <v/>
      </c>
      <c r="E21" s="67">
        <f>IF('2 Outcomes'!F7="","",'2 Outcomes'!F7)</f>
        <v/>
      </c>
      <c r="F21" s="70" t="n"/>
      <c r="G21" s="70" t="n">
        <v>9</v>
      </c>
      <c r="H21" s="70" t="n"/>
      <c r="I21" s="70" t="n"/>
      <c r="J21" s="67">
        <f>IF($E21="","",SUM(F21:I21))</f>
        <v/>
      </c>
      <c r="K21" s="69">
        <f>IFERROR(J21/$E21,"")</f>
        <v/>
      </c>
      <c r="L21" s="60">
        <f>IF($E21="","",IF(C21="Medium-term","measured at term end",ROUND($E21*MIN($B$5,4)/4,1)))</f>
        <v/>
      </c>
      <c r="M21" s="71">
        <f>IF(OR($E21="",NOT(ISNUMBER(L21))),"",ROUND(J21-L21,1))</f>
        <v/>
      </c>
      <c r="N21" s="60">
        <f>IF($E21="","",IF(NOT(ISNUMBER(L21)),"Not yet due",IF(J21&gt;=L21,"On pace",IF(J21&gt;=L21*0.9,"Slightly behind","Behind, explain"))))</f>
        <v/>
      </c>
      <c r="O21" s="24">
        <f>IF($E21="","",IF(OR(N21="On pace",N21="Not yet due"),"","Original target "&amp;TEXT($E21,"#,##0")&amp;" by "&amp;'2 Outcomes'!E7&amp;". Reported to date "&amp;TEXT(J21,"#,##0")&amp;" through Q"&amp;$B$5&amp;", against "&amp;TEXT(L21,"#,##0.0")&amp;" expected by now. Reason: ______. What changes for the next period: ______."))</f>
        <v/>
      </c>
    </row>
    <row r="22" ht="34" customHeight="1">
      <c r="A22" s="51">
        <f>'2 Outcomes'!A8</f>
        <v/>
      </c>
      <c r="B22" s="24">
        <f>IF('2 Outcomes'!C8="","",'2 Outcomes'!D8&amp;" "&amp;'2 Outcomes'!C8)</f>
        <v/>
      </c>
      <c r="C22" s="24">
        <f>IF('2 Outcomes'!B8="","",'2 Outcomes'!B8)</f>
        <v/>
      </c>
      <c r="D22" s="24">
        <f>IF('2 Outcomes'!L8="","",'2 Outcomes'!L8)</f>
        <v/>
      </c>
      <c r="E22" s="67">
        <f>IF('2 Outcomes'!F8="","",'2 Outcomes'!F8)</f>
        <v/>
      </c>
      <c r="F22" s="70" t="n"/>
      <c r="G22" s="70" t="n"/>
      <c r="H22" s="70" t="n"/>
      <c r="I22" s="70" t="n"/>
      <c r="J22" s="67">
        <f>IF($E22="","",SUM(F22:I22))</f>
        <v/>
      </c>
      <c r="K22" s="69">
        <f>IFERROR(J22/$E22,"")</f>
        <v/>
      </c>
      <c r="L22" s="60">
        <f>IF($E22="","",IF(C22="Medium-term","measured at term end",ROUND($E22*MIN($B$5,4)/4,1)))</f>
        <v/>
      </c>
      <c r="M22" s="71">
        <f>IF(OR($E22="",NOT(ISNUMBER(L22))),"",ROUND(J22-L22,1))</f>
        <v/>
      </c>
      <c r="N22" s="60">
        <f>IF($E22="","",IF(NOT(ISNUMBER(L22)),"Not yet due",IF(J22&gt;=L22,"On pace",IF(J22&gt;=L22*0.9,"Slightly behind","Behind, explain"))))</f>
        <v/>
      </c>
      <c r="O22" s="24">
        <f>IF($E22="","",IF(OR(N22="On pace",N22="Not yet due"),"","Original target "&amp;TEXT($E22,"#,##0")&amp;" by "&amp;'2 Outcomes'!E8&amp;". Reported to date "&amp;TEXT(J22,"#,##0")&amp;" through Q"&amp;$B$5&amp;", against "&amp;TEXT(L22,"#,##0.0")&amp;" expected by now. Reason: ______. What changes for the next period: ______."))</f>
        <v/>
      </c>
    </row>
    <row r="23" ht="34" customHeight="1">
      <c r="A23" s="51">
        <f>'2 Outcomes'!A9</f>
        <v/>
      </c>
      <c r="B23" s="24">
        <f>IF('2 Outcomes'!C9="","",'2 Outcomes'!D9&amp;" "&amp;'2 Outcomes'!C9)</f>
        <v/>
      </c>
      <c r="C23" s="24">
        <f>IF('2 Outcomes'!B9="","",'2 Outcomes'!B9)</f>
        <v/>
      </c>
      <c r="D23" s="24">
        <f>IF('2 Outcomes'!L9="","",'2 Outcomes'!L9)</f>
        <v/>
      </c>
      <c r="E23" s="67">
        <f>IF('2 Outcomes'!F9="","",'2 Outcomes'!F9)</f>
        <v/>
      </c>
      <c r="F23" s="70" t="n"/>
      <c r="G23" s="70" t="n"/>
      <c r="H23" s="70" t="n"/>
      <c r="I23" s="70" t="n"/>
      <c r="J23" s="67">
        <f>IF($E23="","",SUM(F23:I23))</f>
        <v/>
      </c>
      <c r="K23" s="69">
        <f>IFERROR(J23/$E23,"")</f>
        <v/>
      </c>
      <c r="L23" s="60">
        <f>IF($E23="","",IF(C23="Medium-term","measured at term end",ROUND($E23*MIN($B$5,4)/4,1)))</f>
        <v/>
      </c>
      <c r="M23" s="71">
        <f>IF(OR($E23="",NOT(ISNUMBER(L23))),"",ROUND(J23-L23,1))</f>
        <v/>
      </c>
      <c r="N23" s="60">
        <f>IF($E23="","",IF(NOT(ISNUMBER(L23)),"Not yet due",IF(J23&gt;=L23,"On pace",IF(J23&gt;=L23*0.9,"Slightly behind","Behind, explain"))))</f>
        <v/>
      </c>
      <c r="O23" s="24">
        <f>IF($E23="","",IF(OR(N23="On pace",N23="Not yet due"),"","Original target "&amp;TEXT($E23,"#,##0")&amp;" by "&amp;'2 Outcomes'!E9&amp;". Reported to date "&amp;TEXT(J23,"#,##0")&amp;" through Q"&amp;$B$5&amp;", against "&amp;TEXT(L23,"#,##0.0")&amp;" expected by now. Reason: ______. What changes for the next period: ______."))</f>
        <v/>
      </c>
    </row>
    <row r="24" ht="34" customHeight="1">
      <c r="A24" s="51">
        <f>'2 Outcomes'!A10</f>
        <v/>
      </c>
      <c r="B24" s="24">
        <f>IF('2 Outcomes'!C10="","",'2 Outcomes'!D10&amp;" "&amp;'2 Outcomes'!C10)</f>
        <v/>
      </c>
      <c r="C24" s="24">
        <f>IF('2 Outcomes'!B10="","",'2 Outcomes'!B10)</f>
        <v/>
      </c>
      <c r="D24" s="24">
        <f>IF('2 Outcomes'!L10="","",'2 Outcomes'!L10)</f>
        <v/>
      </c>
      <c r="E24" s="67">
        <f>IF('2 Outcomes'!F10="","",'2 Outcomes'!F10)</f>
        <v/>
      </c>
      <c r="F24" s="70" t="n"/>
      <c r="G24" s="70" t="n"/>
      <c r="H24" s="70" t="n"/>
      <c r="I24" s="70" t="n"/>
      <c r="J24" s="67">
        <f>IF($E24="","",SUM(F24:I24))</f>
        <v/>
      </c>
      <c r="K24" s="69">
        <f>IFERROR(J24/$E24,"")</f>
        <v/>
      </c>
      <c r="L24" s="60">
        <f>IF($E24="","",IF(C24="Medium-term","measured at term end",ROUND($E24*MIN($B$5,4)/4,1)))</f>
        <v/>
      </c>
      <c r="M24" s="71">
        <f>IF(OR($E24="",NOT(ISNUMBER(L24))),"",ROUND(J24-L24,1))</f>
        <v/>
      </c>
      <c r="N24" s="60">
        <f>IF($E24="","",IF(NOT(ISNUMBER(L24)),"Not yet due",IF(J24&gt;=L24,"On pace",IF(J24&gt;=L24*0.9,"Slightly behind","Behind, explain"))))</f>
        <v/>
      </c>
      <c r="O24" s="24">
        <f>IF($E24="","",IF(OR(N24="On pace",N24="Not yet due"),"","Original target "&amp;TEXT($E24,"#,##0")&amp;" by "&amp;'2 Outcomes'!E10&amp;". Reported to date "&amp;TEXT(J24,"#,##0")&amp;" through Q"&amp;$B$5&amp;", against "&amp;TEXT(L24,"#,##0.0")&amp;" expected by now. Reason: ______. What changes for the next period: ______."))</f>
        <v/>
      </c>
    </row>
    <row r="25" ht="34" customHeight="1">
      <c r="A25" s="51">
        <f>'2 Outcomes'!A11</f>
        <v/>
      </c>
      <c r="B25" s="24">
        <f>IF('2 Outcomes'!C11="","",'2 Outcomes'!D11&amp;" "&amp;'2 Outcomes'!C11)</f>
        <v/>
      </c>
      <c r="C25" s="24">
        <f>IF('2 Outcomes'!B11="","",'2 Outcomes'!B11)</f>
        <v/>
      </c>
      <c r="D25" s="24">
        <f>IF('2 Outcomes'!L11="","",'2 Outcomes'!L11)</f>
        <v/>
      </c>
      <c r="E25" s="67">
        <f>IF('2 Outcomes'!F11="","",'2 Outcomes'!F11)</f>
        <v/>
      </c>
      <c r="F25" s="70" t="n"/>
      <c r="G25" s="70" t="n"/>
      <c r="H25" s="70" t="n"/>
      <c r="I25" s="70" t="n"/>
      <c r="J25" s="67">
        <f>IF($E25="","",SUM(F25:I25))</f>
        <v/>
      </c>
      <c r="K25" s="69">
        <f>IFERROR(J25/$E25,"")</f>
        <v/>
      </c>
      <c r="L25" s="60">
        <f>IF($E25="","",IF(C25="Medium-term","measured at term end",ROUND($E25*MIN($B$5,4)/4,1)))</f>
        <v/>
      </c>
      <c r="M25" s="71">
        <f>IF(OR($E25="",NOT(ISNUMBER(L25))),"",ROUND(J25-L25,1))</f>
        <v/>
      </c>
      <c r="N25" s="60">
        <f>IF($E25="","",IF(NOT(ISNUMBER(L25)),"Not yet due",IF(J25&gt;=L25,"On pace",IF(J25&gt;=L25*0.9,"Slightly behind","Behind, explain"))))</f>
        <v/>
      </c>
      <c r="O25" s="24">
        <f>IF($E25="","",IF(OR(N25="On pace",N25="Not yet due"),"","Original target "&amp;TEXT($E25,"#,##0")&amp;" by "&amp;'2 Outcomes'!E11&amp;". Reported to date "&amp;TEXT(J25,"#,##0")&amp;" through Q"&amp;$B$5&amp;", against "&amp;TEXT(L25,"#,##0.0")&amp;" expected by now. Reason: ______. What changes for the next period: ______."))</f>
        <v/>
      </c>
    </row>
    <row r="26" ht="34" customHeight="1">
      <c r="A26" s="51">
        <f>'2 Outcomes'!A12</f>
        <v/>
      </c>
      <c r="B26" s="24">
        <f>IF('2 Outcomes'!C12="","",'2 Outcomes'!D12&amp;" "&amp;'2 Outcomes'!C12)</f>
        <v/>
      </c>
      <c r="C26" s="24">
        <f>IF('2 Outcomes'!B12="","",'2 Outcomes'!B12)</f>
        <v/>
      </c>
      <c r="D26" s="24">
        <f>IF('2 Outcomes'!L12="","",'2 Outcomes'!L12)</f>
        <v/>
      </c>
      <c r="E26" s="67">
        <f>IF('2 Outcomes'!F12="","",'2 Outcomes'!F12)</f>
        <v/>
      </c>
      <c r="F26" s="70" t="n"/>
      <c r="G26" s="70" t="n"/>
      <c r="H26" s="70" t="n"/>
      <c r="I26" s="70" t="n"/>
      <c r="J26" s="67">
        <f>IF($E26="","",SUM(F26:I26))</f>
        <v/>
      </c>
      <c r="K26" s="69">
        <f>IFERROR(J26/$E26,"")</f>
        <v/>
      </c>
      <c r="L26" s="60">
        <f>IF($E26="","",IF(C26="Medium-term","measured at term end",ROUND($E26*MIN($B$5,4)/4,1)))</f>
        <v/>
      </c>
      <c r="M26" s="71">
        <f>IF(OR($E26="",NOT(ISNUMBER(L26))),"",ROUND(J26-L26,1))</f>
        <v/>
      </c>
      <c r="N26" s="60">
        <f>IF($E26="","",IF(NOT(ISNUMBER(L26)),"Not yet due",IF(J26&gt;=L26,"On pace",IF(J26&gt;=L26*0.9,"Slightly behind","Behind, explain"))))</f>
        <v/>
      </c>
      <c r="O26" s="24">
        <f>IF($E26="","",IF(OR(N26="On pace",N26="Not yet due"),"","Original target "&amp;TEXT($E26,"#,##0")&amp;" by "&amp;'2 Outcomes'!E12&amp;". Reported to date "&amp;TEXT(J26,"#,##0")&amp;" through Q"&amp;$B$5&amp;", against "&amp;TEXT(L26,"#,##0.0")&amp;" expected by now. Reason: ______. What changes for the next period: ______."))</f>
        <v/>
      </c>
    </row>
    <row r="28" ht="20" customHeight="1">
      <c r="A28" s="4" t="inlineStr">
        <is>
          <t>REPORT ROLL-UP: live</t>
        </is>
      </c>
      <c r="B28" s="5" t="n"/>
      <c r="C28" s="5" t="n"/>
      <c r="D28" s="5" t="n"/>
      <c r="E28" s="5" t="n"/>
      <c r="F28" s="5" t="n"/>
      <c r="G28" s="5" t="n"/>
      <c r="H28" s="5" t="n"/>
      <c r="I28" s="5" t="n"/>
      <c r="J28" s="5" t="n"/>
      <c r="K28" s="5" t="n"/>
      <c r="L28" s="5" t="n"/>
      <c r="M28" s="5" t="n"/>
      <c r="N28" s="5" t="n"/>
      <c r="O28" s="5" t="n"/>
    </row>
    <row r="29" ht="20" customHeight="1">
      <c r="A29" s="7" t="inlineStr"/>
      <c r="B29" s="7" t="inlineStr">
        <is>
          <t>Figure</t>
        </is>
      </c>
      <c r="C29" s="7" t="inlineStr"/>
      <c r="D29" s="7" t="inlineStr"/>
      <c r="E29" s="7" t="inlineStr">
        <is>
          <t>Value</t>
        </is>
      </c>
      <c r="F29" s="7" t="inlineStr"/>
      <c r="G29" s="7" t="inlineStr"/>
      <c r="H29" s="7" t="inlineStr"/>
      <c r="I29" s="7" t="inlineStr"/>
      <c r="J29" s="7" t="inlineStr"/>
      <c r="K29" s="7" t="inlineStr"/>
      <c r="L29" s="7" t="inlineStr"/>
      <c r="M29" s="7" t="inlineStr"/>
      <c r="N29" s="7" t="inlineStr"/>
      <c r="O29" s="7" t="inlineStr">
        <is>
          <t>What it means</t>
        </is>
      </c>
    </row>
    <row r="30" ht="30" customHeight="1">
      <c r="B30" s="8" t="inlineStr">
        <is>
          <t>Output items on pace</t>
        </is>
      </c>
      <c r="E30" s="60">
        <f>COUNTIF(N9:N17,"On pace")&amp;" of "&amp;COUNTA(B9:B17)</f>
        <v/>
      </c>
      <c r="F30" s="27" t="n"/>
      <c r="G30" s="27" t="n"/>
      <c r="H30" s="28" t="n"/>
      <c r="O30" s="26" t="inlineStr">
        <is>
          <t>Interim reports ask for the numbers already listed in the outputs column.</t>
        </is>
      </c>
    </row>
    <row r="31" ht="30" customHeight="1">
      <c r="B31" s="8" t="inlineStr">
        <is>
          <t>Output items behind</t>
        </is>
      </c>
      <c r="E31" s="60">
        <f>COUNTIF(N9:N17,"Behind*")</f>
        <v/>
      </c>
      <c r="F31" s="27" t="n"/>
      <c r="G31" s="27" t="n"/>
      <c r="H31" s="28" t="n"/>
      <c r="O31" s="26" t="inlineStr">
        <is>
          <t>Each one needs a variance paragraph, not a quietly restated target.</t>
        </is>
      </c>
    </row>
    <row r="32" ht="30" customHeight="1">
      <c r="B32" s="8" t="inlineStr">
        <is>
          <t>Total units of service reported to date</t>
        </is>
      </c>
      <c r="E32" s="60">
        <f>SUM(J9:J17)</f>
        <v/>
      </c>
      <c r="F32" s="27" t="n"/>
      <c r="G32" s="27" t="n"/>
      <c r="H32" s="28" t="n"/>
      <c r="O32" s="26" t="inlineStr">
        <is>
          <t>The headline number the program officer will read first.</t>
        </is>
      </c>
    </row>
    <row r="33" ht="30" customHeight="1">
      <c r="B33" s="8" t="inlineStr">
        <is>
          <t>Total units of service committed</t>
        </is>
      </c>
      <c r="E33" s="60">
        <f>SUM(E9:E17)</f>
        <v/>
      </c>
      <c r="F33" s="27" t="n"/>
      <c r="G33" s="27" t="n"/>
      <c r="H33" s="28" t="n"/>
      <c r="O33" s="26" t="inlineStr">
        <is>
          <t>Straight from the outputs column of the model.</t>
        </is>
      </c>
    </row>
    <row r="34" ht="30" customHeight="1">
      <c r="B34" s="8" t="inlineStr">
        <is>
          <t>Share of committed service delivered</t>
        </is>
      </c>
      <c r="E34" s="69">
        <f>IFERROR(SUM(J9:J17)/SUM(E9:E17),"")</f>
        <v/>
      </c>
      <c r="F34" s="27" t="n"/>
      <c r="G34" s="27" t="n"/>
      <c r="H34" s="28" t="n"/>
      <c r="O34" s="26" t="inlineStr">
        <is>
          <t>Compare with the share of the term elapsed before drawing any conclusion.</t>
        </is>
      </c>
    </row>
    <row r="35" ht="30" customHeight="1">
      <c r="B35" s="8" t="inlineStr">
        <is>
          <t>Share of the term elapsed</t>
        </is>
      </c>
      <c r="E35" s="69">
        <f>MIN($B$5,4)/4</f>
        <v/>
      </c>
      <c r="F35" s="27" t="n"/>
      <c r="G35" s="27" t="n"/>
      <c r="H35" s="28" t="n"/>
      <c r="O35" s="26" t="inlineStr">
        <is>
          <t>Four quarters in the reporting year. Delivery below this line needs an explanation.</t>
        </is>
      </c>
    </row>
    <row r="36" ht="30" customHeight="1">
      <c r="B36" s="8" t="inlineStr">
        <is>
          <t>Delivery against elapsed time</t>
        </is>
      </c>
      <c r="E36" s="60">
        <f>IF(IFERROR(SUM(J9:J17)/SUM(E9:E17),0)&gt;=MIN($B$5,4)/4,"Delivery is keeping pace with the calendar.","Delivery is behind the calendar by "&amp;TEXT(MIN($B$5,4)/4-IFERROR(SUM(J9:J17)/SUM(E9:E17),0),"0.0%")&amp;" of the committed total. Say so in the report before the program officer works it out.")</f>
        <v/>
      </c>
      <c r="F36" s="27" t="n"/>
      <c r="G36" s="27" t="n"/>
      <c r="H36" s="28" t="n"/>
      <c r="O36" s="26" t="inlineStr">
        <is>
          <t>The comparison a program officer makes automatically.</t>
        </is>
      </c>
    </row>
    <row r="37" ht="30" customHeight="1">
      <c r="B37" s="8" t="inlineStr">
        <is>
          <t>Outcome actuals recorded so far</t>
        </is>
      </c>
      <c r="E37" s="60">
        <f>COUNT(F21:I26)</f>
        <v/>
      </c>
      <c r="F37" s="27" t="n"/>
      <c r="G37" s="27" t="n"/>
      <c r="H37" s="28" t="n"/>
      <c r="O37" s="26" t="inlineStr">
        <is>
          <t>Short-term outcomes usually report from a single administration, so blanks early in the award are normal.</t>
        </is>
      </c>
    </row>
    <row r="38" ht="30" customHeight="1">
      <c r="B38" s="8" t="inlineStr">
        <is>
          <t>Variance paragraphs to write</t>
        </is>
      </c>
      <c r="E38" s="60">
        <f>COUNTIF(N9:N17,"Behind*")+COUNTIF(N21:N26,"Behind*")</f>
        <v/>
      </c>
      <c r="F38" s="27" t="n"/>
      <c r="G38" s="27" t="n"/>
      <c r="H38" s="28" t="n"/>
      <c r="O38" s="26" t="inlineStr">
        <is>
          <t>Column O drafts the opening of each one for you.</t>
        </is>
      </c>
    </row>
    <row r="40" ht="20" customHeight="1">
      <c r="A40" s="4" t="inlineStr">
        <is>
          <t>REPORTING A TARGET YOU ARE GOING TO MISS</t>
        </is>
      </c>
      <c r="B40" s="5" t="n"/>
      <c r="C40" s="5" t="n"/>
      <c r="D40" s="5" t="n"/>
      <c r="E40" s="5" t="n"/>
      <c r="F40" s="5" t="n"/>
      <c r="G40" s="5" t="n"/>
      <c r="H40" s="5" t="n"/>
      <c r="I40" s="5" t="n"/>
      <c r="J40" s="5" t="n"/>
      <c r="K40" s="5" t="n"/>
      <c r="L40" s="5" t="n"/>
      <c r="M40" s="5" t="n"/>
      <c r="N40" s="5" t="n"/>
      <c r="O40" s="5" t="n"/>
    </row>
    <row r="41" ht="44" customHeight="1">
      <c r="A41" s="6" t="inlineStr">
        <is>
          <t>Report the variance rather than quietly restating the target as though it had always been lower. Put the original number, the actual number, and the reason in one paragraph, then say what changes for the next period. Column O assembles the first three of those for every item that is behind; you supply the reason and the change.</t>
        </is>
      </c>
    </row>
    <row r="42" ht="44" customHeight="1">
      <c r="A42" s="6" t="inlineStr">
        <is>
          <t>Edit the model itself when an activity changes, and date the edit on Program Setup, so the final report starts from a document that matches what the program did rather than what the proposal promised.</t>
        </is>
      </c>
    </row>
    <row r="43" ht="44" customHeight="1">
      <c r="A43" s="6" t="inlineStr">
        <is>
          <t>Set the collection dates at award time, months before the first report is due. Put each date on the calendar as a task assigned to whoever owns the number, so the reporting view is already populated when the deadline arrives.</t>
        </is>
      </c>
    </row>
    <row r="44" ht="44" customHeight="1">
      <c r="A44" s="6" t="inlineStr">
        <is>
          <t>The model also gives you a head start on the renewal. A funder deciding whether to continue support wants the same chain, with the outcomes column showing what actually happened.</t>
        </is>
      </c>
    </row>
    <row r="46">
      <c r="A46" s="15" t="inlineStr">
        <is>
          <t>GrantCue - grantcue.com/blog/logic-model-for-grant-writing</t>
        </is>
      </c>
    </row>
  </sheetData>
  <mergeCells count="14">
    <mergeCell ref="A43:O43"/>
    <mergeCell ref="E31:H31"/>
    <mergeCell ref="A42:O42"/>
    <mergeCell ref="E34:H34"/>
    <mergeCell ref="C5:H5"/>
    <mergeCell ref="E35:H35"/>
    <mergeCell ref="A41:O41"/>
    <mergeCell ref="A44:O44"/>
    <mergeCell ref="E30:H30"/>
    <mergeCell ref="E38:H38"/>
    <mergeCell ref="E33:H33"/>
    <mergeCell ref="E32:H32"/>
    <mergeCell ref="E37:H37"/>
    <mergeCell ref="E36:H36"/>
  </mergeCells>
  <pageMargins left="0.75" right="0.75" top="1" bottom="1" header="0.5" footer="0.5"/>
  <pageSetup orientation="landscape" fitToHeight="0" fitToWidth="1"/>
</worksheet>
</file>

<file path=xl/worksheets/sheet16.xml><?xml version="1.0" encoding="utf-8"?>
<worksheet xmlns="http://schemas.openxmlformats.org/spreadsheetml/2006/main">
  <sheetPr>
    <tabColor rgb="008A3B3B"/>
    <outlinePr summaryBelow="1" summaryRight="1"/>
    <pageSetUpPr fitToPage="1"/>
  </sheetPr>
  <dimension ref="A1:F41"/>
  <sheetViews>
    <sheetView workbookViewId="0">
      <pane ySplit="6" topLeftCell="A7" activePane="bottomLeft" state="frozen"/>
      <selection pane="bottomLeft" activeCell="A1" sqref="A1"/>
    </sheetView>
  </sheetViews>
  <sheetFormatPr baseColWidth="8" defaultRowHeight="15"/>
  <cols>
    <col width="6" customWidth="1" min="1" max="1"/>
    <col width="26" customWidth="1" min="2" max="2"/>
    <col width="54" customWidth="1" min="3" max="3"/>
    <col width="12" customWidth="1" min="4" max="4"/>
    <col width="20" customWidth="1" min="5" max="5"/>
    <col width="56" customWidth="1" min="6" max="6"/>
  </cols>
  <sheetData>
    <row r="1">
      <c r="A1" s="1" t="inlineStr">
        <is>
          <t>What a Reviewer Cross-Checks the Model Against</t>
        </is>
      </c>
    </row>
    <row r="2">
      <c r="A2" s="2" t="inlineStr">
        <is>
          <t>A reviewer reads a logic model against the rest of the application and looks for places where the documents disagree. The diagram is short enough to hold in view while checking three or four other pages.</t>
        </is>
      </c>
    </row>
    <row r="3">
      <c r="A3" s="3" t="inlineStr">
        <is>
          <t>Answer Yes or No in column D. Column E scores it and column F names the contradiction each No creates.</t>
        </is>
      </c>
    </row>
    <row r="5" ht="20" customHeight="1">
      <c r="A5" s="4" t="inlineStr">
        <is>
          <t>THE TWENTY CHECKS</t>
        </is>
      </c>
      <c r="B5" s="5" t="n"/>
      <c r="C5" s="5" t="n"/>
      <c r="D5" s="5" t="n"/>
      <c r="E5" s="5" t="n"/>
      <c r="F5" s="5" t="n"/>
    </row>
    <row r="6" ht="24" customHeight="1">
      <c r="A6" s="7" t="inlineStr">
        <is>
          <t>#</t>
        </is>
      </c>
      <c r="B6" s="7" t="inlineStr">
        <is>
          <t>Document</t>
        </is>
      </c>
      <c r="C6" s="7" t="inlineStr">
        <is>
          <t>Check</t>
        </is>
      </c>
      <c r="D6" s="7" t="inlineStr">
        <is>
          <t>Yes / No</t>
        </is>
      </c>
      <c r="E6" s="7" t="inlineStr">
        <is>
          <t>Status (live)</t>
        </is>
      </c>
      <c r="F6" s="7" t="inlineStr">
        <is>
          <t>What a No means to the reviewer</t>
        </is>
      </c>
    </row>
    <row r="7" ht="38" customHeight="1">
      <c r="A7" s="68" t="n">
        <v>1</v>
      </c>
      <c r="B7" s="8" t="inlineStr">
        <is>
          <t>Budget</t>
        </is>
      </c>
      <c r="C7" s="9" t="inlineStr">
        <is>
          <t>Every personnel input in the model appears in the budget at the same FTE.</t>
        </is>
      </c>
      <c r="D7" s="56" t="n"/>
      <c r="E7" s="60">
        <f>IF(D7="","not checked",IF(UPPER(LEFT(D7,1))="Y","Consistent","CONTRADICTION"))</f>
        <v/>
      </c>
      <c r="F7" s="26" t="inlineStr">
        <is>
          <t>If the model lists a full-time family navigator and the budget funds a quarter-time coordinator, the reviewer trusts the budget and discounts the model.</t>
        </is>
      </c>
    </row>
    <row r="8" ht="38" customHeight="1">
      <c r="A8" s="68" t="n">
        <v>2</v>
      </c>
      <c r="B8" s="8" t="inlineStr">
        <is>
          <t>Budget</t>
        </is>
      </c>
      <c r="C8" s="9" t="inlineStr">
        <is>
          <t>Every priced input in the model has a corresponding budget line.</t>
        </is>
      </c>
      <c r="D8" s="56" t="n"/>
      <c r="E8" s="60">
        <f>IF(D8="","not checked",IF(UPPER(LEFT(D8,1))="Y","Consistent","CONTRADICTION"))</f>
        <v/>
      </c>
      <c r="F8" s="26" t="inlineStr">
        <is>
          <t>An input with no budget line is a resource you have not funded, which means an activity you cannot run.</t>
        </is>
      </c>
    </row>
    <row r="9" ht="38" customHeight="1">
      <c r="A9" s="68" t="n">
        <v>3</v>
      </c>
      <c r="B9" s="8" t="inlineStr">
        <is>
          <t>Budget</t>
        </is>
      </c>
      <c r="C9" s="9" t="inlineStr">
        <is>
          <t>The total of the inputs column equals the amount requested.</t>
        </is>
      </c>
      <c r="D9" s="56" t="n"/>
      <c r="E9" s="60">
        <f>IF(D9="","not checked",IF(UPPER(LEFT(D9,1))="Y","Consistent","CONTRADICTION"))</f>
        <v/>
      </c>
      <c r="F9" s="26" t="inlineStr">
        <is>
          <t>A mismatch here reads as two documents prepared by two people who did not talk.</t>
        </is>
      </c>
    </row>
    <row r="10" ht="38" customHeight="1">
      <c r="A10" s="68" t="n">
        <v>4</v>
      </c>
      <c r="B10" s="8" t="inlineStr">
        <is>
          <t>Budget</t>
        </is>
      </c>
      <c r="C10" s="9" t="inlineStr">
        <is>
          <t>In-kind inputs are shown as in-kind in both documents, not counted as cash.</t>
        </is>
      </c>
      <c r="D10" s="56" t="n"/>
      <c r="E10" s="60">
        <f>IF(D10="","not checked",IF(UPPER(LEFT(D10,1))="Y","Consistent","CONTRADICTION"))</f>
        <v/>
      </c>
      <c r="F10" s="26" t="inlineStr">
        <is>
          <t>Double-counting donated space as both match and expense is a finding, not a typo.</t>
        </is>
      </c>
    </row>
    <row r="11" ht="38" customHeight="1">
      <c r="A11" s="68" t="n">
        <v>5</v>
      </c>
      <c r="B11" s="8" t="inlineStr">
        <is>
          <t>Budget</t>
        </is>
      </c>
      <c r="C11" s="9" t="inlineStr">
        <is>
          <t>Evaluation costs appear in the budget, not only in the outcomes column.</t>
        </is>
      </c>
      <c r="D11" s="56" t="n"/>
      <c r="E11" s="60">
        <f>IF(D11="","not checked",IF(UPPER(LEFT(D11,1))="Y","Consistent","CONTRADICTION"))</f>
        <v/>
      </c>
      <c r="F11" s="26" t="inlineStr">
        <is>
          <t>A $0 evaluation line beside four measured outcomes tells the reviewer the measurement will not happen.</t>
        </is>
      </c>
    </row>
    <row r="12" ht="38" customHeight="1">
      <c r="A12" s="68" t="n">
        <v>6</v>
      </c>
      <c r="B12" s="8" t="inlineStr">
        <is>
          <t>Workplan</t>
        </is>
      </c>
      <c r="C12" s="9" t="inlineStr">
        <is>
          <t>Every activity in the model appears on the timeline.</t>
        </is>
      </c>
      <c r="D12" s="56" t="n"/>
      <c r="E12" s="60">
        <f>IF(D12="","not checked",IF(UPPER(LEFT(D12,1))="Y","Consistent","CONTRADICTION"))</f>
        <v/>
      </c>
      <c r="F12" s="26" t="inlineStr">
        <is>
          <t>An activity that appears only in the diagram is aspiration.</t>
        </is>
      </c>
    </row>
    <row r="13" ht="38" customHeight="1">
      <c r="A13" s="68" t="n">
        <v>7</v>
      </c>
      <c r="B13" s="8" t="inlineStr">
        <is>
          <t>Workplan</t>
        </is>
      </c>
      <c r="C13" s="9" t="inlineStr">
        <is>
          <t>Every activity has a start date inside the grant term.</t>
        </is>
      </c>
      <c r="D13" s="56" t="n"/>
      <c r="E13" s="60">
        <f>IF(D13="","not checked",IF(UPPER(LEFT(D13,1))="Y","Consistent","CONTRADICTION"))</f>
        <v/>
      </c>
      <c r="F13" s="26" t="inlineStr">
        <is>
          <t>Work before the award date is usually unallowable, and work after the end date will not be paid for.</t>
        </is>
      </c>
    </row>
    <row r="14" ht="38" customHeight="1">
      <c r="A14" s="68" t="n">
        <v>8</v>
      </c>
      <c r="B14" s="8" t="inlineStr">
        <is>
          <t>Workplan</t>
        </is>
      </c>
      <c r="C14" s="9" t="inlineStr">
        <is>
          <t>Every activity has a named owner or role.</t>
        </is>
      </c>
      <c r="D14" s="56" t="n"/>
      <c r="E14" s="60">
        <f>IF(D14="","not checked",IF(UPPER(LEFT(D14,1))="Y","Consistent","CONTRADICTION"))</f>
        <v/>
      </c>
      <c r="F14" s="26" t="inlineStr">
        <is>
          <t>An unowned activity is the one that slips, and reviewers have seen it slip before.</t>
        </is>
      </c>
    </row>
    <row r="15" ht="38" customHeight="1">
      <c r="A15" s="68" t="n">
        <v>9</v>
      </c>
      <c r="B15" s="8" t="inlineStr">
        <is>
          <t>Workplan</t>
        </is>
      </c>
      <c r="C15" s="9" t="inlineStr">
        <is>
          <t>The activity sequence matches the order implied by the model.</t>
        </is>
      </c>
      <c r="D15" s="56" t="n"/>
      <c r="E15" s="60">
        <f>IF(D15="","not checked",IF(UPPER(LEFT(D15,1))="Y","Consistent","CONTRADICTION"))</f>
        <v/>
      </c>
      <c r="F15" s="26" t="inlineStr">
        <is>
          <t>Training volunteers after tutoring starts is a scheduling error visible on one page.</t>
        </is>
      </c>
    </row>
    <row r="16" ht="38" customHeight="1">
      <c r="A16" s="68" t="n">
        <v>10</v>
      </c>
      <c r="B16" s="8" t="inlineStr">
        <is>
          <t>Workplan</t>
        </is>
      </c>
      <c r="C16" s="9" t="inlineStr">
        <is>
          <t>The workplan contains no activity that is missing from the model.</t>
        </is>
      </c>
      <c r="D16" s="56" t="n"/>
      <c r="E16" s="60">
        <f>IF(D16="","not checked",IF(UPPER(LEFT(D16,1))="Y","Consistent","CONTRADICTION"))</f>
        <v/>
      </c>
      <c r="F16" s="26" t="inlineStr">
        <is>
          <t>An extra activity means either the model is incomplete or the workplan has padding.</t>
        </is>
      </c>
    </row>
    <row r="17" ht="38" customHeight="1">
      <c r="A17" s="68" t="n">
        <v>11</v>
      </c>
      <c r="B17" s="8" t="inlineStr">
        <is>
          <t>Evaluation plan</t>
        </is>
      </c>
      <c r="C17" s="9" t="inlineStr">
        <is>
          <t>Every outcome has a measure named in the evaluation plan.</t>
        </is>
      </c>
      <c r="D17" s="56" t="n"/>
      <c r="E17" s="60">
        <f>IF(D17="","not checked",IF(UPPER(LEFT(D17,1))="Y","Consistent","CONTRADICTION"))</f>
        <v/>
      </c>
      <c r="F17" s="26" t="inlineStr">
        <is>
          <t>Each outcome needs a measure, a data source, and a collection schedule. That is the whole job of the evaluation plan, and the outcomes column supplies its raw material.</t>
        </is>
      </c>
    </row>
    <row r="18" ht="38" customHeight="1">
      <c r="A18" s="68" t="n">
        <v>12</v>
      </c>
      <c r="B18" s="8" t="inlineStr">
        <is>
          <t>Evaluation plan</t>
        </is>
      </c>
      <c r="C18" s="9" t="inlineStr">
        <is>
          <t>Every measure names a data source the program can actually reach.</t>
        </is>
      </c>
      <c r="D18" s="56" t="n"/>
      <c r="E18" s="60">
        <f>IF(D18="","not checked",IF(UPPER(LEFT(D18,1))="Y","Consistent","CONTRADICTION"))</f>
        <v/>
      </c>
      <c r="F18" s="26" t="inlineStr">
        <is>
          <t>A measure that depends on a partner's data with no agreement in place will not produce a number.</t>
        </is>
      </c>
    </row>
    <row r="19" ht="38" customHeight="1">
      <c r="A19" s="68" t="n">
        <v>13</v>
      </c>
      <c r="B19" s="8" t="inlineStr">
        <is>
          <t>Evaluation plan</t>
        </is>
      </c>
      <c r="C19" s="9" t="inlineStr">
        <is>
          <t>Every measure has a collection schedule with dates.</t>
        </is>
      </c>
      <c r="D19" s="56" t="n"/>
      <c r="E19" s="60">
        <f>IF(D19="","not checked",IF(UPPER(LEFT(D19,1))="Y","Consistent","CONTRADICTION"))</f>
        <v/>
      </c>
      <c r="F19" s="26" t="inlineStr">
        <is>
          <t>Without dates, the first collection happens the week the report is due.</t>
        </is>
      </c>
    </row>
    <row r="20" ht="38" customHeight="1">
      <c r="A20" s="68" t="n">
        <v>14</v>
      </c>
      <c r="B20" s="8" t="inlineStr">
        <is>
          <t>Evaluation plan</t>
        </is>
      </c>
      <c r="C20" s="9" t="inlineStr">
        <is>
          <t>The outcome wording in the evaluation plan matches the model word for word.</t>
        </is>
      </c>
      <c r="D20" s="56" t="n"/>
      <c r="E20" s="60">
        <f>IF(D20="","not checked",IF(UPPER(LEFT(D20,1))="Y","Consistent","CONTRADICTION"))</f>
        <v/>
      </c>
      <c r="F20" s="26" t="inlineStr">
        <is>
          <t>Two versions of the same target invite the reviewer to ask which one you will be held to.</t>
        </is>
      </c>
    </row>
    <row r="21" ht="38" customHeight="1">
      <c r="A21" s="68" t="n">
        <v>15</v>
      </c>
      <c r="B21" s="8" t="inlineStr">
        <is>
          <t>Evaluation plan</t>
        </is>
      </c>
      <c r="C21" s="9" t="inlineStr">
        <is>
          <t>Baselines are stated or their absence is explained.</t>
        </is>
      </c>
      <c r="D21" s="56" t="n"/>
      <c r="E21" s="60">
        <f>IF(D21="","not checked",IF(UPPER(LEFT(D21,1))="Y","Consistent","CONTRADICTION"))</f>
        <v/>
      </c>
      <c r="F21" s="26" t="inlineStr">
        <is>
          <t>A target with no baseline cannot be assessed for ambition or for honesty.</t>
        </is>
      </c>
    </row>
    <row r="22" ht="38" customHeight="1">
      <c r="A22" s="68" t="n">
        <v>16</v>
      </c>
      <c r="B22" s="8" t="inlineStr">
        <is>
          <t>Statement of need</t>
        </is>
      </c>
      <c r="C22" s="9" t="inlineStr">
        <is>
          <t>The impact column points at the condition the need statement documents.</t>
        </is>
      </c>
      <c r="D22" s="56" t="n"/>
      <c r="E22" s="60">
        <f>IF(D22="","not checked",IF(UPPER(LEFT(D22,1))="Y","Consistent","CONTRADICTION"))</f>
        <v/>
      </c>
      <c r="F22" s="26" t="inlineStr">
        <is>
          <t>If your need statement documents a shortage of bilingual caseworkers, the impact column should point at that shortage. General community wellbeing is a different claim, and the two do not substitute for each other.</t>
        </is>
      </c>
    </row>
    <row r="23" ht="38" customHeight="1">
      <c r="A23" s="68" t="n">
        <v>17</v>
      </c>
      <c r="B23" s="8" t="inlineStr">
        <is>
          <t>Statement of need</t>
        </is>
      </c>
      <c r="C23" s="9" t="inlineStr">
        <is>
          <t>The population in the outcomes column matches the population in the need statement.</t>
        </is>
      </c>
      <c r="D23" s="56" t="n"/>
      <c r="E23" s="60">
        <f>IF(D23="","not checked",IF(UPPER(LEFT(D23,1))="Y","Consistent","CONTRADICTION"))</f>
        <v/>
      </c>
      <c r="F23" s="26" t="inlineStr">
        <is>
          <t>Documenting need among one group and serving another is the fastest way to lose a reviewer.</t>
        </is>
      </c>
    </row>
    <row r="24" ht="38" customHeight="1">
      <c r="A24" s="68" t="n">
        <v>18</v>
      </c>
      <c r="B24" s="8" t="inlineStr">
        <is>
          <t>Statement of need</t>
        </is>
      </c>
      <c r="C24" s="9" t="inlineStr">
        <is>
          <t>The scale of the impact claim matches the scale of the request.</t>
        </is>
      </c>
      <c r="D24" s="56" t="n"/>
      <c r="E24" s="60">
        <f>IF(D24="","not checked",IF(UPPER(LEFT(D24,1))="Y","Consistent","CONTRADICTION"))</f>
        <v/>
      </c>
      <c r="F24" s="26" t="inlineStr">
        <is>
          <t>A one-year, single-site project claiming a county-wide condition change is promising more than the money buys.</t>
        </is>
      </c>
    </row>
    <row r="25" ht="38" customHeight="1">
      <c r="A25" s="68" t="n">
        <v>19</v>
      </c>
      <c r="B25" s="8" t="inlineStr">
        <is>
          <t>Goals and objectives</t>
        </is>
      </c>
      <c r="C25" s="9" t="inlineStr">
        <is>
          <t>Each objective in the narrative corresponds to one outcome in the model.</t>
        </is>
      </c>
      <c r="D25" s="56" t="n"/>
      <c r="E25" s="60">
        <f>IF(D25="","not checked",IF(UPPER(LEFT(D25,1))="Y","Consistent","CONTRADICTION"))</f>
        <v/>
      </c>
      <c r="F25" s="26" t="inlineStr">
        <is>
          <t>An objective with no outcome behind it has no measure, and an outcome with no objective looks like an afterthought.</t>
        </is>
      </c>
    </row>
    <row r="26" ht="38" customHeight="1">
      <c r="A26" s="68" t="n">
        <v>20</v>
      </c>
      <c r="B26" s="8" t="inlineStr">
        <is>
          <t>Goals and objectives</t>
        </is>
      </c>
      <c r="C26" s="9" t="inlineStr">
        <is>
          <t>Each objective carries the same number and date as the model.</t>
        </is>
      </c>
      <c r="D26" s="56" t="n"/>
      <c r="E26" s="60">
        <f>IF(D26="","not checked",IF(UPPER(LEFT(D26,1))="Y","Consistent","CONTRADICTION"))</f>
        <v/>
      </c>
      <c r="F26" s="26" t="inlineStr">
        <is>
          <t>This is the check that catches three people drafting three sections in the same week.</t>
        </is>
      </c>
    </row>
    <row r="28" ht="20" customHeight="1">
      <c r="A28" s="4" t="inlineStr">
        <is>
          <t>SCORE BY DOCUMENT: live</t>
        </is>
      </c>
      <c r="B28" s="5" t="n"/>
      <c r="C28" s="5" t="n"/>
      <c r="D28" s="5" t="n"/>
      <c r="E28" s="5" t="n"/>
      <c r="F28" s="5" t="n"/>
    </row>
    <row r="29" ht="20" customHeight="1">
      <c r="A29" s="7" t="inlineStr"/>
      <c r="B29" s="7" t="inlineStr">
        <is>
          <t>Document</t>
        </is>
      </c>
      <c r="C29" s="7" t="inlineStr">
        <is>
          <t>Consistent</t>
        </is>
      </c>
      <c r="D29" s="7" t="inlineStr">
        <is>
          <t>Contradictions</t>
        </is>
      </c>
      <c r="E29" s="7" t="inlineStr">
        <is>
          <t>Not checked</t>
        </is>
      </c>
      <c r="F29" s="7" t="inlineStr">
        <is>
          <t>Verdict</t>
        </is>
      </c>
    </row>
    <row r="30" ht="32" customHeight="1">
      <c r="B30" s="8" t="inlineStr">
        <is>
          <t>Budget</t>
        </is>
      </c>
      <c r="C30" s="67">
        <f>COUNTIFS($B$7:$B$26,B30,$E$7:$E$26,"Consistent")</f>
        <v/>
      </c>
      <c r="D30" s="67">
        <f>COUNTIFS($B$7:$B$26,B30,$E$7:$E$26,"CONTRADICTION")</f>
        <v/>
      </c>
      <c r="E30" s="67">
        <f>COUNTIFS($B$7:$B$26,B30,$E$7:$E$26,"not checked")</f>
        <v/>
      </c>
      <c r="F30" s="24">
        <f>IF(D30&gt;0,"The model and this document describe different projects in "&amp;D30&amp;" place(s). Fix the document, not the diagram, unless the diagram is the one that is wrong.",IF(E30&gt;0,E30&amp;" check(s) still to run.","This document agrees with the model."))</f>
        <v/>
      </c>
    </row>
    <row r="31" ht="32" customHeight="1">
      <c r="B31" s="8" t="inlineStr">
        <is>
          <t>Workplan</t>
        </is>
      </c>
      <c r="C31" s="67">
        <f>COUNTIFS($B$7:$B$26,B31,$E$7:$E$26,"Consistent")</f>
        <v/>
      </c>
      <c r="D31" s="67">
        <f>COUNTIFS($B$7:$B$26,B31,$E$7:$E$26,"CONTRADICTION")</f>
        <v/>
      </c>
      <c r="E31" s="67">
        <f>COUNTIFS($B$7:$B$26,B31,$E$7:$E$26,"not checked")</f>
        <v/>
      </c>
      <c r="F31" s="24">
        <f>IF(D31&gt;0,"The model and this document describe different projects in "&amp;D31&amp;" place(s). Fix the document, not the diagram, unless the diagram is the one that is wrong.",IF(E31&gt;0,E31&amp;" check(s) still to run.","This document agrees with the model."))</f>
        <v/>
      </c>
    </row>
    <row r="32" ht="32" customHeight="1">
      <c r="B32" s="8" t="inlineStr">
        <is>
          <t>Evaluation plan</t>
        </is>
      </c>
      <c r="C32" s="67">
        <f>COUNTIFS($B$7:$B$26,B32,$E$7:$E$26,"Consistent")</f>
        <v/>
      </c>
      <c r="D32" s="67">
        <f>COUNTIFS($B$7:$B$26,B32,$E$7:$E$26,"CONTRADICTION")</f>
        <v/>
      </c>
      <c r="E32" s="67">
        <f>COUNTIFS($B$7:$B$26,B32,$E$7:$E$26,"not checked")</f>
        <v/>
      </c>
      <c r="F32" s="24">
        <f>IF(D32&gt;0,"The model and this document describe different projects in "&amp;D32&amp;" place(s). Fix the document, not the diagram, unless the diagram is the one that is wrong.",IF(E32&gt;0,E32&amp;" check(s) still to run.","This document agrees with the model."))</f>
        <v/>
      </c>
    </row>
    <row r="33" ht="32" customHeight="1">
      <c r="B33" s="8" t="inlineStr">
        <is>
          <t>Statement of need</t>
        </is>
      </c>
      <c r="C33" s="67">
        <f>COUNTIFS($B$7:$B$26,B33,$E$7:$E$26,"Consistent")</f>
        <v/>
      </c>
      <c r="D33" s="67">
        <f>COUNTIFS($B$7:$B$26,B33,$E$7:$E$26,"CONTRADICTION")</f>
        <v/>
      </c>
      <c r="E33" s="67">
        <f>COUNTIFS($B$7:$B$26,B33,$E$7:$E$26,"not checked")</f>
        <v/>
      </c>
      <c r="F33" s="24">
        <f>IF(D33&gt;0,"The model and this document describe different projects in "&amp;D33&amp;" place(s). Fix the document, not the diagram, unless the diagram is the one that is wrong.",IF(E33&gt;0,E33&amp;" check(s) still to run.","This document agrees with the model."))</f>
        <v/>
      </c>
    </row>
    <row r="34" ht="32" customHeight="1">
      <c r="B34" s="8" t="inlineStr">
        <is>
          <t>Goals and objectives</t>
        </is>
      </c>
      <c r="C34" s="67">
        <f>COUNTIFS($B$7:$B$26,B34,$E$7:$E$26,"Consistent")</f>
        <v/>
      </c>
      <c r="D34" s="67">
        <f>COUNTIFS($B$7:$B$26,B34,$E$7:$E$26,"CONTRADICTION")</f>
        <v/>
      </c>
      <c r="E34" s="67">
        <f>COUNTIFS($B$7:$B$26,B34,$E$7:$E$26,"not checked")</f>
        <v/>
      </c>
      <c r="F34" s="24">
        <f>IF(D34&gt;0,"The model and this document describe different projects in "&amp;D34&amp;" place(s). Fix the document, not the diagram, unless the diagram is the one that is wrong.",IF(E34&gt;0,E34&amp;" check(s) still to run.","This document agrees with the model."))</f>
        <v/>
      </c>
    </row>
    <row r="35" ht="44" customHeight="1">
      <c r="B35" s="8" t="inlineStr">
        <is>
          <t>All twenty checks</t>
        </is>
      </c>
      <c r="C35" s="67">
        <f>COUNTIF($E$7:$E$26,"Consistent")</f>
        <v/>
      </c>
      <c r="D35" s="67">
        <f>COUNTIF($E$7:$E$26,"CONTRADICTION")</f>
        <v/>
      </c>
      <c r="E35" s="67">
        <f>COUNTIF($E$7:$E$26,"not checked")</f>
        <v/>
      </c>
      <c r="F35" s="51">
        <f>IF(C35+D35=0,"Nothing checked yet. Twenty minutes here is cheaper than a reviewer finding the first contradiction and going looking for others.",IF(D35=0,"No contradictions found across "&amp;C35&amp;" completed check(s). When these four documents agree, the model works for the application instead of against it.",D35&amp;" contradiction(s). A reviewer who spots one has a reason to go looking for others, and they will find them faster than you did."))</f>
        <v/>
      </c>
    </row>
    <row r="36">
      <c r="B36" s="8" t="inlineStr">
        <is>
          <t>Completion</t>
        </is>
      </c>
      <c r="C36" s="69">
        <f>(C35+D35)/20</f>
        <v/>
      </c>
      <c r="F36" s="26" t="inlineStr">
        <is>
          <t>Run all twenty before the application goes out. The four documents in this list are the ones the model gets read against.</t>
        </is>
      </c>
    </row>
    <row r="38" ht="20" customHeight="1">
      <c r="A38" s="4" t="inlineStr">
        <is>
          <t>WHY THIS SHEET EXISTS</t>
        </is>
      </c>
      <c r="B38" s="5" t="n"/>
      <c r="C38" s="5" t="n"/>
      <c r="D38" s="5" t="n"/>
      <c r="E38" s="5" t="n"/>
      <c r="F38" s="5" t="n"/>
    </row>
    <row r="39" ht="60" customHeight="1">
      <c r="A39" s="6" t="inlineStr">
        <is>
          <t>When the budget, the workplan, the evaluation plan and the statement of need disagree with the model, the model works against the application. The diagram is the shortest document in the package, which makes it the easiest place to check four other documents from, useful to a reviewer and risky for an applicant. Built early, a logic model tells you whether the proposal holds together before you have written a paragraph of narrative. Built last, it usually exposes a gap you no longer have time to close.</t>
        </is>
      </c>
    </row>
    <row r="41">
      <c r="A41" s="15" t="inlineStr">
        <is>
          <t>GrantCue - grantcue.com/blog/logic-model-for-grant-writing</t>
        </is>
      </c>
    </row>
  </sheetData>
  <mergeCells count="1">
    <mergeCell ref="A39:F39"/>
  </mergeCells>
  <dataValidations count="1">
    <dataValidation sqref="D7:D26" showDropDown="0" showInputMessage="0" showErrorMessage="0" allowBlank="1" type="list">
      <formula1>"Yes,No"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2026-09-10T22:51:47Z</dcterms:created>
  <dcterms:modified xmlns:dcterms="http://purl.org/dc/terms/" xmlns:xsi="http://www.w3.org/2001/XMLSchema-instance" xsi:type="dcterms:W3CDTF">2026-09-21T21:25:35Z</dcterms:modified>
</cp:coreProperties>
</file>